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People Management\ResourceLink Reports\Systems Reports\Diversity Stats\2023\March\"/>
    </mc:Choice>
  </mc:AlternateContent>
  <xr:revisionPtr revIDLastSave="0" documentId="13_ncr:1_{A6C40CF5-46A5-4B1A-B231-32D0DFA22D5A}" xr6:coauthVersionLast="47" xr6:coauthVersionMax="47" xr10:uidLastSave="{00000000-0000-0000-0000-000000000000}"/>
  <bookViews>
    <workbookView xWindow="20055" yWindow="3750" windowWidth="30780" windowHeight="19080" tabRatio="925" xr2:uid="{00000000-000D-0000-FFFF-FFFF00000000}"/>
  </bookViews>
  <sheets>
    <sheet name="Ethnicity by Grade " sheetId="8" r:id="rId1"/>
    <sheet name="Ethnicity by Directorate" sheetId="2" r:id="rId2"/>
    <sheet name="Ethnicity by Location" sheetId="5" r:id="rId3"/>
    <sheet name="Gender by Grade " sheetId="6" r:id="rId4"/>
    <sheet name="Gender by Directorate" sheetId="1" r:id="rId5"/>
    <sheet name="Gender by Location" sheetId="4" r:id="rId6"/>
    <sheet name="Age by Grade" sheetId="10" r:id="rId7"/>
    <sheet name="Age by Directorate " sheetId="3" r:id="rId8"/>
    <sheet name="Perf Mgt" sheetId="18" state="hidden" r:id="rId9"/>
    <sheet name="Leavers by ethnicity" sheetId="13" r:id="rId10"/>
    <sheet name="Ex-police historic figures" sheetId="17" r:id="rId11"/>
    <sheet name="Our staff by career background" sheetId="14" r:id="rId12"/>
    <sheet name="Inv and Hills by career backgro" sheetId="15" r:id="rId13"/>
    <sheet name="Ops and Hills breakdown" sheetId="21" r:id="rId14"/>
    <sheet name="Career background by directorat" sheetId="16" r:id="rId15"/>
    <sheet name="New starters" sheetId="19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17" l="1"/>
  <c r="D42" i="17"/>
  <c r="O5" i="1"/>
  <c r="J41" i="17"/>
  <c r="D41" i="17"/>
  <c r="X6" i="3"/>
  <c r="X7" i="3"/>
  <c r="X8" i="3"/>
  <c r="X9" i="3"/>
  <c r="X10" i="3"/>
  <c r="X5" i="3"/>
  <c r="X6" i="1"/>
  <c r="X5" i="1"/>
  <c r="X6" i="2"/>
  <c r="X7" i="2"/>
  <c r="X8" i="2"/>
  <c r="X9" i="2"/>
  <c r="X5" i="2"/>
  <c r="N10" i="5" l="1"/>
  <c r="J40" i="17" l="1"/>
  <c r="J39" i="17"/>
  <c r="D40" i="17"/>
  <c r="D39" i="17"/>
  <c r="B13" i="21"/>
  <c r="J38" i="17"/>
  <c r="D38" i="17"/>
  <c r="L7" i="1"/>
  <c r="M6" i="1" s="1"/>
  <c r="B9" i="14"/>
  <c r="J37" i="17"/>
  <c r="D37" i="17"/>
  <c r="J36" i="17"/>
  <c r="D36" i="17"/>
  <c r="C14" i="16"/>
  <c r="B14" i="16"/>
  <c r="D10" i="16"/>
  <c r="F10" i="16"/>
  <c r="H10" i="16"/>
  <c r="E14" i="16"/>
  <c r="G14" i="16"/>
  <c r="D13" i="16"/>
  <c r="F13" i="16"/>
  <c r="H13" i="16"/>
  <c r="D12" i="16"/>
  <c r="F12" i="16"/>
  <c r="H12" i="16"/>
  <c r="M5" i="1" l="1"/>
  <c r="M7" i="1"/>
  <c r="D14" i="16"/>
  <c r="D35" i="17" l="1"/>
  <c r="J35" i="17"/>
  <c r="V11" i="3" l="1"/>
  <c r="T11" i="3"/>
  <c r="R11" i="3"/>
  <c r="P11" i="3"/>
  <c r="N11" i="3"/>
  <c r="L11" i="3"/>
  <c r="V7" i="1"/>
  <c r="W7" i="1" s="1"/>
  <c r="T7" i="1"/>
  <c r="R7" i="1"/>
  <c r="S7" i="1" s="1"/>
  <c r="P7" i="1"/>
  <c r="Q7" i="1" s="1"/>
  <c r="N7" i="1"/>
  <c r="O7" i="1" s="1"/>
  <c r="V10" i="2"/>
  <c r="T10" i="2"/>
  <c r="R10" i="2"/>
  <c r="P10" i="2"/>
  <c r="N10" i="2"/>
  <c r="L10" i="2"/>
  <c r="U5" i="3" l="1"/>
  <c r="U9" i="3"/>
  <c r="U6" i="3"/>
  <c r="U8" i="3"/>
  <c r="U7" i="3"/>
  <c r="U10" i="3"/>
  <c r="U6" i="1"/>
  <c r="U5" i="1"/>
  <c r="U7" i="1"/>
  <c r="U5" i="2"/>
  <c r="U8" i="2"/>
  <c r="U7" i="2"/>
  <c r="U9" i="2"/>
  <c r="U6" i="2"/>
  <c r="W10" i="3"/>
  <c r="W5" i="3"/>
  <c r="W9" i="3"/>
  <c r="W11" i="3"/>
  <c r="W6" i="3"/>
  <c r="W7" i="3"/>
  <c r="W8" i="3"/>
  <c r="S11" i="3"/>
  <c r="S6" i="3"/>
  <c r="S7" i="3"/>
  <c r="S5" i="3"/>
  <c r="S8" i="3"/>
  <c r="S9" i="3"/>
  <c r="S10" i="3"/>
  <c r="Q6" i="3"/>
  <c r="Q7" i="3"/>
  <c r="Q8" i="3"/>
  <c r="Q9" i="3"/>
  <c r="Q10" i="3"/>
  <c r="Q5" i="3"/>
  <c r="Q11" i="3"/>
  <c r="O5" i="3"/>
  <c r="O6" i="3"/>
  <c r="O7" i="3"/>
  <c r="O8" i="3"/>
  <c r="O9" i="3"/>
  <c r="O10" i="3"/>
  <c r="O11" i="3"/>
  <c r="M6" i="3"/>
  <c r="M7" i="3"/>
  <c r="M8" i="3"/>
  <c r="M9" i="3"/>
  <c r="M5" i="3"/>
  <c r="M11" i="3"/>
  <c r="M10" i="3"/>
  <c r="W5" i="1"/>
  <c r="W6" i="1"/>
  <c r="S6" i="1"/>
  <c r="S5" i="1"/>
  <c r="Q5" i="1"/>
  <c r="Q6" i="1"/>
  <c r="O6" i="1"/>
  <c r="W6" i="2"/>
  <c r="W8" i="2"/>
  <c r="W7" i="2"/>
  <c r="W9" i="2"/>
  <c r="W5" i="2"/>
  <c r="S6" i="2"/>
  <c r="S5" i="2"/>
  <c r="S7" i="2"/>
  <c r="S8" i="2"/>
  <c r="S9" i="2"/>
  <c r="Q6" i="2"/>
  <c r="Q7" i="2"/>
  <c r="Q5" i="2"/>
  <c r="Q8" i="2"/>
  <c r="Q9" i="2"/>
  <c r="O6" i="2"/>
  <c r="O5" i="2"/>
  <c r="O7" i="2"/>
  <c r="O8" i="2"/>
  <c r="O9" i="2"/>
  <c r="M7" i="2"/>
  <c r="M9" i="2"/>
  <c r="M5" i="2"/>
  <c r="M6" i="2"/>
  <c r="M8" i="2"/>
  <c r="J34" i="17"/>
  <c r="D34" i="17"/>
  <c r="J33" i="17" l="1"/>
  <c r="D33" i="17"/>
  <c r="J32" i="17" l="1"/>
  <c r="D32" i="17"/>
  <c r="L5" i="13" l="1"/>
  <c r="J31" i="17"/>
  <c r="D31" i="17"/>
  <c r="R8" i="5"/>
  <c r="R9" i="5"/>
  <c r="P10" i="5"/>
  <c r="Q8" i="5" s="1"/>
  <c r="O8" i="5"/>
  <c r="L10" i="5"/>
  <c r="M8" i="5" s="1"/>
  <c r="J10" i="5"/>
  <c r="K8" i="5" s="1"/>
  <c r="H10" i="5"/>
  <c r="I8" i="5" s="1"/>
  <c r="F10" i="5"/>
  <c r="G8" i="5" s="1"/>
  <c r="D10" i="5"/>
  <c r="E8" i="5" s="1"/>
  <c r="B10" i="5"/>
  <c r="C8" i="5" s="1"/>
  <c r="J10" i="2"/>
  <c r="H10" i="2"/>
  <c r="I8" i="2" s="1"/>
  <c r="F10" i="2"/>
  <c r="D10" i="2"/>
  <c r="B10" i="2"/>
  <c r="E8" i="2" l="1"/>
  <c r="X10" i="2"/>
  <c r="G8" i="2"/>
  <c r="K8" i="2"/>
  <c r="C8" i="2"/>
  <c r="C9" i="2"/>
  <c r="Q9" i="5"/>
  <c r="O9" i="5"/>
  <c r="M9" i="5"/>
  <c r="K9" i="5"/>
  <c r="I9" i="5"/>
  <c r="G9" i="5"/>
  <c r="E9" i="5"/>
  <c r="C9" i="5"/>
  <c r="K9" i="2"/>
  <c r="E9" i="2"/>
  <c r="G9" i="2"/>
  <c r="I9" i="2"/>
  <c r="K10" i="2" l="1"/>
  <c r="S10" i="2"/>
  <c r="W10" i="2"/>
  <c r="M10" i="2"/>
  <c r="O10" i="2"/>
  <c r="U10" i="2"/>
  <c r="Q10" i="2"/>
  <c r="Y9" i="2"/>
  <c r="Y8" i="2"/>
  <c r="J30" i="17" l="1"/>
  <c r="D30" i="17" l="1"/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J29" i="17" l="1"/>
  <c r="D29" i="17"/>
  <c r="D28" i="17" l="1"/>
  <c r="J28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J27" i="17" l="1"/>
  <c r="B17" i="8" l="1"/>
  <c r="C17" i="8"/>
  <c r="D17" i="8"/>
  <c r="E17" i="8"/>
  <c r="F17" i="8"/>
  <c r="G19" i="8"/>
  <c r="G20" i="8"/>
  <c r="G21" i="8"/>
  <c r="G22" i="8"/>
  <c r="G25" i="8"/>
  <c r="G26" i="8"/>
  <c r="G27" i="8"/>
  <c r="J26" i="17" l="1"/>
  <c r="J21" i="8" l="1"/>
  <c r="B23" i="8"/>
  <c r="C23" i="8"/>
  <c r="D23" i="8"/>
  <c r="E23" i="8"/>
  <c r="F23" i="8"/>
  <c r="J25" i="17" l="1"/>
  <c r="P22" i="13" l="1"/>
  <c r="J24" i="17" l="1"/>
  <c r="D6" i="19" l="1"/>
  <c r="D4" i="14"/>
  <c r="H6" i="19" l="1"/>
  <c r="F6" i="19"/>
  <c r="H5" i="19"/>
  <c r="F5" i="19"/>
  <c r="D5" i="19"/>
  <c r="H4" i="19"/>
  <c r="F4" i="19"/>
  <c r="D4" i="19"/>
  <c r="H11" i="16"/>
  <c r="F11" i="16"/>
  <c r="D11" i="16"/>
  <c r="H9" i="16"/>
  <c r="F9" i="16"/>
  <c r="D9" i="16"/>
  <c r="H8" i="16"/>
  <c r="F8" i="16"/>
  <c r="D8" i="16"/>
  <c r="H7" i="16"/>
  <c r="F7" i="16"/>
  <c r="D7" i="16"/>
  <c r="H6" i="16"/>
  <c r="F6" i="16"/>
  <c r="D6" i="16"/>
  <c r="H5" i="16"/>
  <c r="F5" i="16"/>
  <c r="D5" i="16"/>
  <c r="H4" i="16"/>
  <c r="F4" i="16"/>
  <c r="D4" i="16"/>
  <c r="G13" i="21"/>
  <c r="E13" i="21"/>
  <c r="C13" i="21"/>
  <c r="H12" i="21"/>
  <c r="F12" i="21"/>
  <c r="D12" i="21"/>
  <c r="H11" i="21"/>
  <c r="F11" i="21"/>
  <c r="D11" i="21"/>
  <c r="H10" i="21"/>
  <c r="F10" i="21"/>
  <c r="D10" i="21"/>
  <c r="H9" i="21"/>
  <c r="F9" i="21"/>
  <c r="D9" i="21"/>
  <c r="H8" i="21"/>
  <c r="F8" i="21"/>
  <c r="D8" i="21"/>
  <c r="H7" i="21"/>
  <c r="F7" i="21"/>
  <c r="D7" i="21"/>
  <c r="H6" i="21"/>
  <c r="F6" i="21"/>
  <c r="D6" i="21"/>
  <c r="H5" i="21"/>
  <c r="F5" i="21"/>
  <c r="D5" i="21"/>
  <c r="H4" i="21"/>
  <c r="F4" i="21"/>
  <c r="D4" i="21"/>
  <c r="G15" i="15"/>
  <c r="E15" i="15"/>
  <c r="C15" i="15"/>
  <c r="B15" i="15"/>
  <c r="H14" i="15"/>
  <c r="F14" i="15"/>
  <c r="D14" i="15"/>
  <c r="H13" i="15"/>
  <c r="F13" i="15"/>
  <c r="D13" i="15"/>
  <c r="H12" i="15"/>
  <c r="F12" i="15"/>
  <c r="D12" i="15"/>
  <c r="H11" i="15"/>
  <c r="F11" i="15"/>
  <c r="D11" i="15"/>
  <c r="G9" i="15"/>
  <c r="E9" i="15"/>
  <c r="C9" i="15"/>
  <c r="B9" i="15"/>
  <c r="H8" i="15"/>
  <c r="F8" i="15"/>
  <c r="D8" i="15"/>
  <c r="H7" i="15"/>
  <c r="F7" i="15"/>
  <c r="D7" i="15"/>
  <c r="H6" i="15"/>
  <c r="F6" i="15"/>
  <c r="D6" i="15"/>
  <c r="H5" i="15"/>
  <c r="F5" i="15"/>
  <c r="D5" i="15"/>
  <c r="G9" i="14"/>
  <c r="E9" i="14"/>
  <c r="C9" i="14"/>
  <c r="H8" i="14"/>
  <c r="F8" i="14"/>
  <c r="D8" i="14"/>
  <c r="H7" i="14"/>
  <c r="F7" i="14"/>
  <c r="D7" i="14"/>
  <c r="H6" i="14"/>
  <c r="F6" i="14"/>
  <c r="D6" i="14"/>
  <c r="H5" i="14"/>
  <c r="F5" i="14"/>
  <c r="D5" i="14"/>
  <c r="H4" i="14"/>
  <c r="F4" i="14"/>
  <c r="J23" i="17"/>
  <c r="J22" i="17"/>
  <c r="J21" i="17"/>
  <c r="J20" i="17"/>
  <c r="J19" i="17"/>
  <c r="J18" i="17"/>
  <c r="I18" i="17"/>
  <c r="C18" i="17"/>
  <c r="J17" i="17"/>
  <c r="I17" i="17"/>
  <c r="C17" i="17"/>
  <c r="J16" i="17"/>
  <c r="I16" i="17"/>
  <c r="C16" i="17"/>
  <c r="J15" i="17"/>
  <c r="J14" i="17"/>
  <c r="J13" i="17"/>
  <c r="J12" i="17"/>
  <c r="J11" i="17"/>
  <c r="J10" i="17"/>
  <c r="J9" i="17"/>
  <c r="J8" i="17"/>
  <c r="I8" i="17"/>
  <c r="C8" i="17"/>
  <c r="J7" i="17"/>
  <c r="J6" i="17"/>
  <c r="J5" i="17"/>
  <c r="J4" i="17"/>
  <c r="H15" i="15" l="1"/>
  <c r="D15" i="15"/>
  <c r="F14" i="16"/>
  <c r="D9" i="15"/>
  <c r="D9" i="14"/>
  <c r="H9" i="14"/>
  <c r="H9" i="15"/>
  <c r="F9" i="14"/>
  <c r="F15" i="15"/>
  <c r="H13" i="21"/>
  <c r="H14" i="16"/>
  <c r="F13" i="21"/>
  <c r="D13" i="21"/>
  <c r="F9" i="15"/>
  <c r="L13" i="13" l="1"/>
  <c r="R13" i="13" s="1"/>
  <c r="C28" i="8" l="1"/>
  <c r="N22" i="13" l="1"/>
  <c r="J22" i="13"/>
  <c r="H22" i="13"/>
  <c r="F22" i="13"/>
  <c r="G12" i="13" s="1"/>
  <c r="D22" i="13"/>
  <c r="B22" i="13"/>
  <c r="L21" i="13"/>
  <c r="R21" i="13" s="1"/>
  <c r="L20" i="13"/>
  <c r="R20" i="13" s="1"/>
  <c r="L19" i="13"/>
  <c r="R19" i="13" s="1"/>
  <c r="L18" i="13"/>
  <c r="R18" i="13" s="1"/>
  <c r="L17" i="13"/>
  <c r="R17" i="13" s="1"/>
  <c r="L16" i="13"/>
  <c r="R16" i="13" s="1"/>
  <c r="L15" i="13"/>
  <c r="R15" i="13" s="1"/>
  <c r="L14" i="13"/>
  <c r="R14" i="13" s="1"/>
  <c r="L12" i="13"/>
  <c r="R12" i="13" s="1"/>
  <c r="L11" i="13"/>
  <c r="R11" i="13" s="1"/>
  <c r="L10" i="13"/>
  <c r="R10" i="13" s="1"/>
  <c r="L9" i="13"/>
  <c r="R9" i="13" s="1"/>
  <c r="L8" i="13"/>
  <c r="R8" i="13" s="1"/>
  <c r="L7" i="13"/>
  <c r="R7" i="13" s="1"/>
  <c r="L6" i="13"/>
  <c r="R6" i="13" s="1"/>
  <c r="R5" i="13"/>
  <c r="J11" i="3"/>
  <c r="H11" i="3"/>
  <c r="F11" i="3"/>
  <c r="D11" i="3"/>
  <c r="E11" i="3" s="1"/>
  <c r="B11" i="3"/>
  <c r="P11" i="10"/>
  <c r="N11" i="10"/>
  <c r="J11" i="10"/>
  <c r="H11" i="10"/>
  <c r="I11" i="10" s="1"/>
  <c r="F11" i="10"/>
  <c r="D11" i="10"/>
  <c r="B11" i="10"/>
  <c r="L10" i="10"/>
  <c r="R10" i="10" s="1"/>
  <c r="L9" i="10"/>
  <c r="R9" i="10" s="1"/>
  <c r="L8" i="10"/>
  <c r="R8" i="10" s="1"/>
  <c r="L7" i="10"/>
  <c r="R7" i="10" s="1"/>
  <c r="L6" i="10"/>
  <c r="R6" i="10" s="1"/>
  <c r="L5" i="10"/>
  <c r="R5" i="10" s="1"/>
  <c r="P7" i="4"/>
  <c r="Q7" i="4" s="1"/>
  <c r="N7" i="4"/>
  <c r="O7" i="4" s="1"/>
  <c r="L7" i="4"/>
  <c r="M5" i="4" s="1"/>
  <c r="J7" i="4"/>
  <c r="K6" i="4" s="1"/>
  <c r="H7" i="4"/>
  <c r="I7" i="4" s="1"/>
  <c r="F7" i="4"/>
  <c r="G6" i="4" s="1"/>
  <c r="D7" i="4"/>
  <c r="E6" i="4" s="1"/>
  <c r="B7" i="4"/>
  <c r="C7" i="4" s="1"/>
  <c r="R6" i="4"/>
  <c r="R5" i="4"/>
  <c r="J7" i="1"/>
  <c r="H7" i="1"/>
  <c r="I5" i="1" s="1"/>
  <c r="F7" i="1"/>
  <c r="D7" i="1"/>
  <c r="E6" i="1" s="1"/>
  <c r="B7" i="1"/>
  <c r="Q7" i="6"/>
  <c r="P7" i="6"/>
  <c r="N7" i="6"/>
  <c r="O6" i="6" s="1"/>
  <c r="J7" i="6"/>
  <c r="K6" i="6" s="1"/>
  <c r="H7" i="6"/>
  <c r="I6" i="6" s="1"/>
  <c r="F7" i="6"/>
  <c r="G6" i="6" s="1"/>
  <c r="D7" i="6"/>
  <c r="E6" i="6" s="1"/>
  <c r="B7" i="6"/>
  <c r="C6" i="6" s="1"/>
  <c r="L6" i="6"/>
  <c r="R6" i="6" s="1"/>
  <c r="L5" i="6"/>
  <c r="R5" i="6" s="1"/>
  <c r="Q5" i="5"/>
  <c r="O5" i="5"/>
  <c r="K7" i="5"/>
  <c r="I7" i="5"/>
  <c r="G6" i="5"/>
  <c r="E7" i="5"/>
  <c r="C6" i="5"/>
  <c r="R7" i="5"/>
  <c r="R6" i="5"/>
  <c r="R5" i="5"/>
  <c r="G7" i="2"/>
  <c r="E5" i="2"/>
  <c r="C5" i="2"/>
  <c r="H28" i="8"/>
  <c r="F28" i="8"/>
  <c r="E28" i="8"/>
  <c r="D28" i="8"/>
  <c r="B28" i="8"/>
  <c r="J27" i="8"/>
  <c r="J26" i="8"/>
  <c r="I23" i="8"/>
  <c r="H23" i="8"/>
  <c r="J22" i="8"/>
  <c r="J20" i="8"/>
  <c r="I17" i="8"/>
  <c r="H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C11" i="3" l="1"/>
  <c r="X11" i="3"/>
  <c r="Y11" i="3" s="1"/>
  <c r="G6" i="1"/>
  <c r="X7" i="1"/>
  <c r="Y7" i="1" s="1"/>
  <c r="U11" i="3"/>
  <c r="K6" i="1"/>
  <c r="C5" i="1"/>
  <c r="R10" i="5"/>
  <c r="S6" i="5" s="1"/>
  <c r="C5" i="13"/>
  <c r="C13" i="13"/>
  <c r="C21" i="13"/>
  <c r="C6" i="13"/>
  <c r="C14" i="13"/>
  <c r="C7" i="13"/>
  <c r="C15" i="13"/>
  <c r="C8" i="13"/>
  <c r="C16" i="13"/>
  <c r="C9" i="13"/>
  <c r="C17" i="13"/>
  <c r="C10" i="13"/>
  <c r="C18" i="13"/>
  <c r="C11" i="13"/>
  <c r="C19" i="13"/>
  <c r="C12" i="13"/>
  <c r="C20" i="13"/>
  <c r="C5" i="10"/>
  <c r="C7" i="10"/>
  <c r="C9" i="10"/>
  <c r="C6" i="10"/>
  <c r="C8" i="10"/>
  <c r="C10" i="10"/>
  <c r="E8" i="10"/>
  <c r="E5" i="10"/>
  <c r="E7" i="10"/>
  <c r="E9" i="10"/>
  <c r="E10" i="10"/>
  <c r="E6" i="10"/>
  <c r="I7" i="2"/>
  <c r="I5" i="2"/>
  <c r="K7" i="2"/>
  <c r="K5" i="2"/>
  <c r="M6" i="5"/>
  <c r="M5" i="5"/>
  <c r="C6" i="4"/>
  <c r="K17" i="13"/>
  <c r="K13" i="13"/>
  <c r="I20" i="13"/>
  <c r="I13" i="13"/>
  <c r="G20" i="13"/>
  <c r="G13" i="13"/>
  <c r="E11" i="13"/>
  <c r="E13" i="13"/>
  <c r="G9" i="13"/>
  <c r="G14" i="13"/>
  <c r="E10" i="13"/>
  <c r="E5" i="13"/>
  <c r="E12" i="13"/>
  <c r="E15" i="13"/>
  <c r="E19" i="13"/>
  <c r="E6" i="13"/>
  <c r="E9" i="13"/>
  <c r="E8" i="13"/>
  <c r="E16" i="13"/>
  <c r="E20" i="13"/>
  <c r="E21" i="13"/>
  <c r="E18" i="13"/>
  <c r="G6" i="10"/>
  <c r="O5" i="6"/>
  <c r="O7" i="6" s="1"/>
  <c r="K6" i="5"/>
  <c r="I5" i="5"/>
  <c r="G5" i="5"/>
  <c r="B30" i="8"/>
  <c r="B18" i="8" s="1"/>
  <c r="C5" i="4"/>
  <c r="I6" i="4"/>
  <c r="K7" i="4"/>
  <c r="I9" i="10"/>
  <c r="E9" i="3"/>
  <c r="C5" i="6"/>
  <c r="C7" i="6" s="1"/>
  <c r="K5" i="4"/>
  <c r="E6" i="3"/>
  <c r="K7" i="13"/>
  <c r="K5" i="6"/>
  <c r="K7" i="6" s="1"/>
  <c r="K8" i="13"/>
  <c r="K18" i="13"/>
  <c r="K15" i="13"/>
  <c r="K19" i="13"/>
  <c r="K16" i="13"/>
  <c r="K21" i="13"/>
  <c r="K6" i="13"/>
  <c r="K9" i="13"/>
  <c r="G8" i="13"/>
  <c r="G7" i="13"/>
  <c r="G5" i="13"/>
  <c r="G15" i="13"/>
  <c r="G21" i="13"/>
  <c r="G19" i="13"/>
  <c r="G6" i="13"/>
  <c r="E14" i="13"/>
  <c r="E17" i="13"/>
  <c r="E7" i="13"/>
  <c r="E7" i="3"/>
  <c r="E10" i="3"/>
  <c r="E5" i="3"/>
  <c r="E8" i="3"/>
  <c r="C5" i="3"/>
  <c r="C7" i="3"/>
  <c r="C9" i="3"/>
  <c r="C6" i="3"/>
  <c r="C8" i="3"/>
  <c r="C10" i="3"/>
  <c r="Q5" i="10"/>
  <c r="Q10" i="10"/>
  <c r="O5" i="10"/>
  <c r="O8" i="10"/>
  <c r="K7" i="10"/>
  <c r="K9" i="10"/>
  <c r="C11" i="10"/>
  <c r="K7" i="1"/>
  <c r="C6" i="1"/>
  <c r="C7" i="1"/>
  <c r="L7" i="6"/>
  <c r="R7" i="6" s="1"/>
  <c r="S5" i="6" s="1"/>
  <c r="O6" i="5"/>
  <c r="O10" i="5" s="1"/>
  <c r="E7" i="2"/>
  <c r="G23" i="8"/>
  <c r="J23" i="8" s="1"/>
  <c r="G28" i="8"/>
  <c r="E7" i="1"/>
  <c r="E6" i="2"/>
  <c r="C5" i="5"/>
  <c r="Q6" i="5"/>
  <c r="Q10" i="5" s="1"/>
  <c r="Q7" i="5"/>
  <c r="O5" i="4"/>
  <c r="K5" i="10"/>
  <c r="K6" i="10"/>
  <c r="G7" i="10"/>
  <c r="O7" i="10"/>
  <c r="I8" i="10"/>
  <c r="I10" i="10"/>
  <c r="E11" i="10"/>
  <c r="K11" i="10"/>
  <c r="K5" i="13"/>
  <c r="G10" i="13"/>
  <c r="G11" i="13"/>
  <c r="K12" i="13"/>
  <c r="K14" i="13"/>
  <c r="G17" i="13"/>
  <c r="K20" i="13"/>
  <c r="C7" i="5"/>
  <c r="K5" i="5"/>
  <c r="K10" i="5" s="1"/>
  <c r="I7" i="1"/>
  <c r="I5" i="10"/>
  <c r="I6" i="10"/>
  <c r="E5" i="1"/>
  <c r="R7" i="4"/>
  <c r="S7" i="4" s="1"/>
  <c r="O6" i="4"/>
  <c r="I7" i="10"/>
  <c r="K8" i="10"/>
  <c r="K10" i="10"/>
  <c r="L22" i="13"/>
  <c r="K10" i="13"/>
  <c r="K11" i="13"/>
  <c r="I6" i="13"/>
  <c r="I21" i="13"/>
  <c r="I8" i="13"/>
  <c r="I10" i="13"/>
  <c r="I12" i="13"/>
  <c r="I15" i="13"/>
  <c r="I17" i="13"/>
  <c r="I19" i="13"/>
  <c r="G16" i="13"/>
  <c r="G18" i="13"/>
  <c r="I5" i="13"/>
  <c r="I7" i="13"/>
  <c r="I9" i="13"/>
  <c r="I11" i="13"/>
  <c r="I14" i="13"/>
  <c r="I16" i="13"/>
  <c r="I18" i="13"/>
  <c r="G11" i="3"/>
  <c r="I11" i="3"/>
  <c r="G5" i="3"/>
  <c r="G6" i="3"/>
  <c r="G7" i="3"/>
  <c r="G8" i="3"/>
  <c r="G9" i="3"/>
  <c r="G10" i="3"/>
  <c r="K11" i="3"/>
  <c r="I5" i="3"/>
  <c r="I6" i="3"/>
  <c r="I7" i="3"/>
  <c r="I8" i="3"/>
  <c r="I9" i="3"/>
  <c r="I10" i="3"/>
  <c r="K5" i="3"/>
  <c r="K6" i="3"/>
  <c r="K7" i="3"/>
  <c r="K8" i="3"/>
  <c r="K9" i="3"/>
  <c r="K10" i="3"/>
  <c r="Q7" i="10"/>
  <c r="G9" i="10"/>
  <c r="O10" i="10"/>
  <c r="L11" i="10"/>
  <c r="M5" i="10" s="1"/>
  <c r="Q8" i="10"/>
  <c r="G10" i="10"/>
  <c r="G11" i="10"/>
  <c r="O11" i="10"/>
  <c r="G5" i="10"/>
  <c r="O6" i="10"/>
  <c r="Q6" i="10"/>
  <c r="G8" i="10"/>
  <c r="O9" i="10"/>
  <c r="Q9" i="10"/>
  <c r="Q5" i="4"/>
  <c r="M6" i="4"/>
  <c r="E7" i="4"/>
  <c r="M7" i="4"/>
  <c r="E5" i="4"/>
  <c r="Q6" i="4"/>
  <c r="G7" i="4"/>
  <c r="G5" i="4"/>
  <c r="I5" i="4"/>
  <c r="G7" i="1"/>
  <c r="G5" i="1"/>
  <c r="I6" i="1"/>
  <c r="K5" i="1"/>
  <c r="E5" i="6"/>
  <c r="E7" i="6" s="1"/>
  <c r="I5" i="6"/>
  <c r="I7" i="6" s="1"/>
  <c r="G5" i="6"/>
  <c r="G7" i="6" s="1"/>
  <c r="M7" i="5"/>
  <c r="O7" i="5"/>
  <c r="E6" i="5"/>
  <c r="E5" i="5"/>
  <c r="E10" i="5" s="1"/>
  <c r="I6" i="5"/>
  <c r="G7" i="5"/>
  <c r="I6" i="2"/>
  <c r="C6" i="2"/>
  <c r="C7" i="2"/>
  <c r="G5" i="2"/>
  <c r="G6" i="2"/>
  <c r="K6" i="2"/>
  <c r="J17" i="8"/>
  <c r="C30" i="8"/>
  <c r="C24" i="8" s="1"/>
  <c r="J25" i="8"/>
  <c r="J28" i="8" s="1"/>
  <c r="D30" i="8"/>
  <c r="D24" i="8" s="1"/>
  <c r="J19" i="8"/>
  <c r="E30" i="8"/>
  <c r="E18" i="8" s="1"/>
  <c r="F30" i="8"/>
  <c r="F18" i="8" s="1"/>
  <c r="G17" i="8"/>
  <c r="H30" i="8"/>
  <c r="H24" i="8" s="1"/>
  <c r="I30" i="8"/>
  <c r="M10" i="5" l="1"/>
  <c r="I10" i="5"/>
  <c r="G10" i="5"/>
  <c r="C10" i="5"/>
  <c r="S8" i="5"/>
  <c r="S9" i="5"/>
  <c r="Y7" i="2"/>
  <c r="C10" i="2"/>
  <c r="B24" i="8"/>
  <c r="B29" i="8"/>
  <c r="Y9" i="3"/>
  <c r="M6" i="13"/>
  <c r="M13" i="13"/>
  <c r="E22" i="13"/>
  <c r="Y6" i="1"/>
  <c r="S7" i="5"/>
  <c r="M6" i="6"/>
  <c r="M12" i="13"/>
  <c r="M7" i="13"/>
  <c r="M20" i="13"/>
  <c r="M18" i="13"/>
  <c r="M8" i="13"/>
  <c r="M14" i="13"/>
  <c r="M19" i="13"/>
  <c r="M5" i="13"/>
  <c r="M21" i="13"/>
  <c r="M9" i="13"/>
  <c r="M15" i="13"/>
  <c r="M11" i="13"/>
  <c r="M10" i="13"/>
  <c r="M16" i="13"/>
  <c r="M17" i="13"/>
  <c r="Y8" i="3"/>
  <c r="Y6" i="3"/>
  <c r="Y5" i="3"/>
  <c r="Y7" i="3"/>
  <c r="Y10" i="3"/>
  <c r="M6" i="10"/>
  <c r="S5" i="4"/>
  <c r="Y5" i="1"/>
  <c r="S6" i="6"/>
  <c r="S7" i="6" s="1"/>
  <c r="M5" i="6"/>
  <c r="S5" i="5"/>
  <c r="Y6" i="2"/>
  <c r="E10" i="2"/>
  <c r="E29" i="8"/>
  <c r="E24" i="8"/>
  <c r="D29" i="8"/>
  <c r="I10" i="2"/>
  <c r="Y5" i="2"/>
  <c r="S6" i="4"/>
  <c r="K22" i="13"/>
  <c r="G22" i="13"/>
  <c r="D18" i="8"/>
  <c r="F24" i="8"/>
  <c r="G10" i="2"/>
  <c r="C22" i="13"/>
  <c r="I22" i="13"/>
  <c r="O22" i="13"/>
  <c r="M7" i="10"/>
  <c r="R11" i="10"/>
  <c r="M11" i="10"/>
  <c r="M9" i="10"/>
  <c r="M8" i="10"/>
  <c r="M10" i="10"/>
  <c r="G30" i="8"/>
  <c r="H29" i="8"/>
  <c r="H18" i="8"/>
  <c r="J30" i="8"/>
  <c r="J29" i="8" s="1"/>
  <c r="C29" i="8"/>
  <c r="F29" i="8"/>
  <c r="C18" i="8"/>
  <c r="S10" i="5" l="1"/>
  <c r="Y10" i="2"/>
  <c r="M7" i="6"/>
  <c r="M22" i="13"/>
  <c r="J18" i="8"/>
  <c r="S11" i="10"/>
  <c r="S8" i="10"/>
  <c r="S10" i="10"/>
  <c r="S6" i="10"/>
  <c r="S7" i="10"/>
  <c r="S5" i="10"/>
  <c r="S9" i="10"/>
  <c r="G24" i="8"/>
  <c r="G29" i="8"/>
  <c r="G18" i="8"/>
  <c r="J24" i="8"/>
  <c r="F12" i="18" l="1"/>
  <c r="D12" i="18"/>
  <c r="E12" i="18" s="1"/>
  <c r="B12" i="18"/>
  <c r="C10" i="18" s="1"/>
  <c r="F8" i="18"/>
  <c r="D8" i="18"/>
  <c r="E6" i="18" s="1"/>
  <c r="B8" i="18"/>
  <c r="C5" i="18" s="1"/>
  <c r="G11" i="18" l="1"/>
  <c r="G12" i="18"/>
  <c r="G10" i="18"/>
  <c r="G6" i="18"/>
  <c r="G7" i="18"/>
  <c r="G8" i="18"/>
  <c r="G5" i="18"/>
  <c r="E11" i="18"/>
  <c r="E10" i="18"/>
  <c r="C7" i="18"/>
  <c r="E7" i="18"/>
  <c r="C11" i="18"/>
  <c r="C12" i="18"/>
  <c r="C8" i="18"/>
  <c r="E8" i="18"/>
  <c r="E5" i="18"/>
  <c r="C6" i="18"/>
  <c r="Q22" i="13" l="1"/>
  <c r="R22" i="13" l="1"/>
  <c r="S13" i="13" l="1"/>
  <c r="S5" i="13"/>
  <c r="S22" i="13"/>
  <c r="S16" i="13"/>
  <c r="S14" i="13"/>
  <c r="S10" i="13"/>
  <c r="S18" i="13"/>
  <c r="S15" i="13"/>
  <c r="S21" i="13"/>
  <c r="S7" i="13"/>
  <c r="S11" i="13"/>
  <c r="S12" i="13"/>
  <c r="S19" i="13"/>
  <c r="S9" i="13"/>
  <c r="S6" i="13"/>
  <c r="S8" i="13"/>
  <c r="S17" i="13"/>
  <c r="S20" i="13"/>
</calcChain>
</file>

<file path=xl/sharedStrings.xml><?xml version="1.0" encoding="utf-8"?>
<sst xmlns="http://schemas.openxmlformats.org/spreadsheetml/2006/main" count="623" uniqueCount="214">
  <si>
    <t>Gender</t>
  </si>
  <si>
    <t/>
  </si>
  <si>
    <t>Total</t>
  </si>
  <si>
    <t xml:space="preserve">    %</t>
  </si>
  <si>
    <t>Staff Number</t>
  </si>
  <si>
    <t>Staff Number %</t>
  </si>
  <si>
    <t>Ethnic Origin</t>
  </si>
  <si>
    <t>Asian Bangladeshi</t>
  </si>
  <si>
    <t>Asian Indian</t>
  </si>
  <si>
    <t>Asian Other</t>
  </si>
  <si>
    <t>Asian Pakistani</t>
  </si>
  <si>
    <t>Black African</t>
  </si>
  <si>
    <t>Black Caribbean</t>
  </si>
  <si>
    <t>Black Other</t>
  </si>
  <si>
    <t>Mixed - White and Black African</t>
  </si>
  <si>
    <t>Mixed White and Black Caribbean</t>
  </si>
  <si>
    <t>Mixed White Asian</t>
  </si>
  <si>
    <t>Other</t>
  </si>
  <si>
    <t>White Irish</t>
  </si>
  <si>
    <t>Total Black and Minority Group</t>
  </si>
  <si>
    <t>Not Stated</t>
  </si>
  <si>
    <t>Undisclosed</t>
  </si>
  <si>
    <t>Total Unknown</t>
  </si>
  <si>
    <t>Undefined</t>
  </si>
  <si>
    <t>White</t>
  </si>
  <si>
    <t>White Other</t>
  </si>
  <si>
    <t>7&amp;8</t>
  </si>
  <si>
    <t>9,10&amp;11</t>
  </si>
  <si>
    <t>12 &amp;13</t>
  </si>
  <si>
    <t>Total Staff No.</t>
  </si>
  <si>
    <t>Unknown</t>
  </si>
  <si>
    <t>Birmingham</t>
  </si>
  <si>
    <t>Cardiff</t>
  </si>
  <si>
    <t>Home</t>
  </si>
  <si>
    <t>Sale</t>
  </si>
  <si>
    <t>Wakefield</t>
  </si>
  <si>
    <t>Warrington</t>
  </si>
  <si>
    <t>Female</t>
  </si>
  <si>
    <t>Male</t>
  </si>
  <si>
    <t>Staff %</t>
  </si>
  <si>
    <t>12&amp;13</t>
  </si>
  <si>
    <t>Age Category</t>
  </si>
  <si>
    <t xml:space="preserve">Comparator figures for </t>
  </si>
  <si>
    <t>White/White Other/White Irish</t>
  </si>
  <si>
    <t>Totals</t>
  </si>
  <si>
    <t xml:space="preserve">Female comparator </t>
  </si>
  <si>
    <t>Total No.</t>
  </si>
  <si>
    <t>Leaver Number</t>
  </si>
  <si>
    <t>Leaver %</t>
  </si>
  <si>
    <t>Ungraded</t>
  </si>
  <si>
    <t>Legal</t>
  </si>
  <si>
    <t>Operations</t>
  </si>
  <si>
    <t>5&amp;6 &amp; Apprentices</t>
  </si>
  <si>
    <t>Chinese or other Chinese Ethnic Background</t>
  </si>
  <si>
    <t>Croydon</t>
  </si>
  <si>
    <t>Total White/White Other/White Irish</t>
  </si>
  <si>
    <t>Job title</t>
  </si>
  <si>
    <t>Total Staff</t>
  </si>
  <si>
    <t>%</t>
  </si>
  <si>
    <t>Operations Team Leader/Deputy Senior Investigator</t>
  </si>
  <si>
    <t>Investigator' includes all grades i.e. Trainee Investigator, Investigator and Lead Investigator</t>
  </si>
  <si>
    <t>Headcount</t>
  </si>
  <si>
    <t>% Ex-Police Officer</t>
  </si>
  <si>
    <t>% Ex-Police Civilian</t>
  </si>
  <si>
    <t>Operations (excl. Hillsborough)</t>
  </si>
  <si>
    <t>Operations total</t>
  </si>
  <si>
    <t>Hillsborough</t>
  </si>
  <si>
    <t>Hillsborough total</t>
  </si>
  <si>
    <t>Directorate</t>
  </si>
  <si>
    <t xml:space="preserve">Number of Ex Police Officers  </t>
  </si>
  <si>
    <t>Number of Ex Police Civilians</t>
  </si>
  <si>
    <t>Date</t>
  </si>
  <si>
    <t>Ex Police Officer*</t>
  </si>
  <si>
    <t>Non Ex Police Officer</t>
  </si>
  <si>
    <t>% of total workforce</t>
  </si>
  <si>
    <t>Ex Police Civilian*</t>
  </si>
  <si>
    <t>Non Ex Police Civilian</t>
  </si>
  <si>
    <t>31st March 2010</t>
  </si>
  <si>
    <t>31st March 2011</t>
  </si>
  <si>
    <t>31st March 2012</t>
  </si>
  <si>
    <t>30th Sept 2012</t>
  </si>
  <si>
    <t>31st March 2013</t>
  </si>
  <si>
    <t>31st March 2014</t>
  </si>
  <si>
    <t>30th Sept 2014</t>
  </si>
  <si>
    <t>31st March 2015</t>
  </si>
  <si>
    <t>30th Sept 2015</t>
  </si>
  <si>
    <t>Disciplinary</t>
  </si>
  <si>
    <t>Grievance</t>
  </si>
  <si>
    <t>Capabililty</t>
  </si>
  <si>
    <t>Number</t>
  </si>
  <si>
    <t>% of total</t>
  </si>
  <si>
    <t>14,15&amp;16</t>
  </si>
  <si>
    <t>31st Dec 2015</t>
  </si>
  <si>
    <t>14, 15&amp;16</t>
  </si>
  <si>
    <t>BME</t>
  </si>
  <si>
    <t>Female %</t>
  </si>
  <si>
    <t>Ex-police</t>
  </si>
  <si>
    <t>Ex-police %</t>
  </si>
  <si>
    <t>Investigations Staff</t>
  </si>
  <si>
    <t>31st March 2016</t>
  </si>
  <si>
    <t>Operations Casework &amp; Contact and Assessment</t>
  </si>
  <si>
    <t>30th June 2016</t>
  </si>
  <si>
    <t>Both*</t>
  </si>
  <si>
    <t>Investigator</t>
  </si>
  <si>
    <t>30th September 2016</t>
  </si>
  <si>
    <t>Total headcount to date</t>
  </si>
  <si>
    <t>Contact and Assessment includes Assessment Unit, Contact and Assessment and Contact Centre</t>
  </si>
  <si>
    <t>31st December 2016</t>
  </si>
  <si>
    <t>Operations Manager/Senior Investigator</t>
  </si>
  <si>
    <t>Other Mixed background</t>
  </si>
  <si>
    <t>31st March 2017</t>
  </si>
  <si>
    <t>Investigator - Core</t>
  </si>
  <si>
    <t>Investigator - Hillsborough</t>
  </si>
  <si>
    <t>Operations Team Leader/Deputy Senior Investigator - Core</t>
  </si>
  <si>
    <t>Operations Team Leader/Deputy Senior Investigator - Hillsborough</t>
  </si>
  <si>
    <t>Operations Manager/Senior Investigator - Core</t>
  </si>
  <si>
    <t>Operations Manager/Senior Investigator - Hillsborough</t>
  </si>
  <si>
    <t>Operations Other</t>
  </si>
  <si>
    <t>Hillsborough Other</t>
  </si>
  <si>
    <t>Non Operations Other</t>
  </si>
  <si>
    <t>Ex police both</t>
  </si>
  <si>
    <t>30th June 2017</t>
  </si>
  <si>
    <t xml:space="preserve">Strategy and Impact </t>
  </si>
  <si>
    <t>30th September 2017</t>
  </si>
  <si>
    <t>Number of Staff who worked both as Ex Police Officer &amp; Civilian</t>
  </si>
  <si>
    <t xml:space="preserve">Investigator </t>
  </si>
  <si>
    <t xml:space="preserve">Operations Manager/Senior Investigator </t>
  </si>
  <si>
    <t>Ex police civilian*</t>
  </si>
  <si>
    <t>Ex police officer*</t>
  </si>
  <si>
    <t>*Ex police officer and ex police civilain figures do not include those that were both ex police office and civilian</t>
  </si>
  <si>
    <t>% Ex police Both</t>
  </si>
  <si>
    <t>Ex-Police Officer*</t>
  </si>
  <si>
    <t>Ex-Police Civilian*</t>
  </si>
  <si>
    <t>Ex-Police Both</t>
  </si>
  <si>
    <t>Ex Police Both</t>
  </si>
  <si>
    <t>31st  December 2017</t>
  </si>
  <si>
    <t xml:space="preserve">Operations Casework </t>
  </si>
  <si>
    <t xml:space="preserve">Operations Hillsborough </t>
  </si>
  <si>
    <t xml:space="preserve">Operations </t>
  </si>
  <si>
    <t>Other Investigations/Operations</t>
  </si>
  <si>
    <t>Other Hillsborough</t>
  </si>
  <si>
    <t xml:space="preserve">Investigator' includes all grades i.e. Trainee Investigator, Investigator and Lead Investigator. For Hillsborough Investigator includes Investigator, Lead Investigator and Senior Lead Investigator. </t>
  </si>
  <si>
    <t>31st  March 2018</t>
  </si>
  <si>
    <t xml:space="preserve">*Ex Police data excludes Temps and Seconded in. Headcount includes Seconded in, but excludes Temps. </t>
  </si>
  <si>
    <t>Includes seconded in and seconded out (excludes temporary agency staff)</t>
  </si>
  <si>
    <t>People</t>
  </si>
  <si>
    <t>Please note for the figures above: All IOPC is inclusive of Operations. Operations is inclusive of Investigations Staff</t>
  </si>
  <si>
    <t>All IOPC</t>
  </si>
  <si>
    <t>*Ex police officer and ex police civilian figures do not include those that were both ex police officer and civilian</t>
  </si>
  <si>
    <t>DG &amp; Directors</t>
  </si>
  <si>
    <t>DG and Private Office</t>
  </si>
  <si>
    <t>Excludes temporary agency workers (includes fixed term and non-voluntary leavers)</t>
  </si>
  <si>
    <t>DG &amp; Directors includes Non-executive Directors</t>
  </si>
  <si>
    <t>Canary Wharf</t>
  </si>
  <si>
    <t>30th June 2018</t>
  </si>
  <si>
    <t>30th September 2018</t>
  </si>
  <si>
    <t>None</t>
  </si>
  <si>
    <t>31st December 2018</t>
  </si>
  <si>
    <t>Ex-police includes Ex-police Officer, Civilan or both</t>
  </si>
  <si>
    <t>31st March 2019</t>
  </si>
  <si>
    <t>30th June 2019</t>
  </si>
  <si>
    <t>30th September 2019</t>
  </si>
  <si>
    <t>31st December 2019</t>
  </si>
  <si>
    <t>31st March 2020</t>
  </si>
  <si>
    <t>30th June 2020</t>
  </si>
  <si>
    <t>BAME</t>
  </si>
  <si>
    <t>30th September 2020</t>
  </si>
  <si>
    <t>31st December 2020</t>
  </si>
  <si>
    <t>BAME%</t>
  </si>
  <si>
    <t>31st March 2021</t>
  </si>
  <si>
    <t>6 &amp; Apprentices</t>
  </si>
  <si>
    <t>DMI</t>
  </si>
  <si>
    <t>Finance</t>
  </si>
  <si>
    <t>ICT</t>
  </si>
  <si>
    <t>National Functions</t>
  </si>
  <si>
    <t>Regional Investigations</t>
  </si>
  <si>
    <t>Risk and Audit</t>
  </si>
  <si>
    <t>Strategy and Impact</t>
  </si>
  <si>
    <t>19 - 25</t>
  </si>
  <si>
    <t>26 - 34</t>
  </si>
  <si>
    <t>35 - 44</t>
  </si>
  <si>
    <t>45 - 54</t>
  </si>
  <si>
    <t>55 - 64</t>
  </si>
  <si>
    <t xml:space="preserve">65 &gt;   </t>
  </si>
  <si>
    <t>30th June 2021</t>
  </si>
  <si>
    <t>Prefer not to Answer</t>
  </si>
  <si>
    <t>30th September 2021</t>
  </si>
  <si>
    <t>Asian other</t>
  </si>
  <si>
    <t>Black other</t>
  </si>
  <si>
    <t>Chinese or other Chinese ethnic background</t>
  </si>
  <si>
    <t>Other mixed background</t>
  </si>
  <si>
    <t>31st December 2021</t>
  </si>
  <si>
    <t>31st March 2022</t>
  </si>
  <si>
    <t>data end March 22</t>
  </si>
  <si>
    <t>30th June 2022</t>
  </si>
  <si>
    <t>30th September 2022</t>
  </si>
  <si>
    <t>Age by Directorate - 31 December 2022</t>
  </si>
  <si>
    <t>Performance Management - Formal Disciplinary, Grievance and Capability Cases Opened 1st April 2022 - 31st December 2022</t>
  </si>
  <si>
    <t>31st December 2022</t>
  </si>
  <si>
    <t>BAME staff, March 2022</t>
  </si>
  <si>
    <t xml:space="preserve">BAME  comparator </t>
  </si>
  <si>
    <t>Ethnicity by Grade - 31 March 2023</t>
  </si>
  <si>
    <t>Ethnicity by Directorate - 31 March 2023</t>
  </si>
  <si>
    <t>Ethnicity by Location - 31 March 2023</t>
  </si>
  <si>
    <t>Gender by Grade - 31 March 2023</t>
  </si>
  <si>
    <t>Gender by Directorate - 31 March 2023</t>
  </si>
  <si>
    <t>Gender by Location - 31 March 2023</t>
  </si>
  <si>
    <t>Age by Grade - 31 March 2023</t>
  </si>
  <si>
    <t>31st March 2023</t>
  </si>
  <si>
    <t>Our Staff by Career Background - 31 March 2023</t>
  </si>
  <si>
    <t>Investigations and Hillsborough Directorate by Career Background - 31 March 2023</t>
  </si>
  <si>
    <t>Our Staff by Career Background and Directorate - 31 March 2023</t>
  </si>
  <si>
    <t>Leavers by Ethnicity &amp; Grade 1st April 2022 - 31st March 2023</t>
  </si>
  <si>
    <t>New Starters - 1st April 2022 - 31st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</si>
</sst>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£&quot;#,##0.00"/>
    <numFmt numFmtId="166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7" fillId="0" borderId="0"/>
    <xf numFmtId="9" fontId="1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456">
    <xf numFmtId="0" fontId="0" fillId="0" borderId="0" xfId="0"/>
    <xf numFmtId="0" fontId="0" fillId="0" borderId="0" xfId="0" applyAlignment="1">
      <alignment wrapText="1"/>
    </xf>
    <xf numFmtId="10" fontId="0" fillId="0" borderId="9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7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3" xfId="0" applyFont="1" applyBorder="1"/>
    <xf numFmtId="0" fontId="0" fillId="0" borderId="0" xfId="0" applyFont="1"/>
    <xf numFmtId="0" fontId="0" fillId="0" borderId="29" xfId="0" applyBorder="1" applyAlignment="1">
      <alignment horizontal="center" vertical="top" wrapText="1"/>
    </xf>
    <xf numFmtId="0" fontId="2" fillId="0" borderId="29" xfId="0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32" xfId="0" applyBorder="1"/>
    <xf numFmtId="0" fontId="0" fillId="0" borderId="33" xfId="0" applyBorder="1"/>
    <xf numFmtId="0" fontId="2" fillId="0" borderId="0" xfId="0" applyFont="1"/>
    <xf numFmtId="10" fontId="0" fillId="0" borderId="37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10" fontId="5" fillId="0" borderId="27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4" fillId="2" borderId="0" xfId="0" applyFont="1" applyFill="1" applyAlignment="1">
      <alignment horizontal="center"/>
    </xf>
    <xf numFmtId="10" fontId="0" fillId="0" borderId="42" xfId="0" applyNumberFormat="1" applyBorder="1" applyAlignment="1">
      <alignment horizontal="center"/>
    </xf>
    <xf numFmtId="0" fontId="4" fillId="2" borderId="25" xfId="0" applyFont="1" applyFill="1" applyBorder="1"/>
    <xf numFmtId="0" fontId="0" fillId="0" borderId="13" xfId="0" applyBorder="1"/>
    <xf numFmtId="0" fontId="0" fillId="0" borderId="44" xfId="0" applyBorder="1" applyAlignment="1">
      <alignment horizontal="center" vertical="top" wrapText="1"/>
    </xf>
    <xf numFmtId="10" fontId="0" fillId="0" borderId="45" xfId="0" applyNumberFormat="1" applyBorder="1" applyAlignment="1">
      <alignment horizontal="center"/>
    </xf>
    <xf numFmtId="10" fontId="0" fillId="0" borderId="46" xfId="0" applyNumberFormat="1" applyBorder="1" applyAlignment="1">
      <alignment horizontal="center"/>
    </xf>
    <xf numFmtId="10" fontId="2" fillId="0" borderId="44" xfId="0" applyNumberFormat="1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3" borderId="1" xfId="0" applyFont="1" applyFill="1" applyBorder="1"/>
    <xf numFmtId="0" fontId="8" fillId="0" borderId="49" xfId="0" applyFont="1" applyFill="1" applyBorder="1"/>
    <xf numFmtId="0" fontId="8" fillId="0" borderId="50" xfId="0" applyFont="1" applyFill="1" applyBorder="1"/>
    <xf numFmtId="0" fontId="9" fillId="0" borderId="13" xfId="0" applyFont="1" applyFill="1" applyBorder="1"/>
    <xf numFmtId="10" fontId="0" fillId="0" borderId="4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10" fontId="0" fillId="0" borderId="38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8" fillId="0" borderId="51" xfId="0" applyFont="1" applyFill="1" applyBorder="1"/>
    <xf numFmtId="0" fontId="0" fillId="0" borderId="52" xfId="0" applyFont="1" applyBorder="1" applyAlignment="1">
      <alignment horizontal="center"/>
    </xf>
    <xf numFmtId="10" fontId="0" fillId="0" borderId="53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10" fontId="0" fillId="0" borderId="43" xfId="0" applyNumberFormat="1" applyFont="1" applyBorder="1" applyAlignment="1">
      <alignment horizontal="center"/>
    </xf>
    <xf numFmtId="0" fontId="6" fillId="0" borderId="29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4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10" fontId="0" fillId="0" borderId="43" xfId="0" applyNumberFormat="1" applyBorder="1" applyAlignment="1">
      <alignment horizontal="center"/>
    </xf>
    <xf numFmtId="10" fontId="0" fillId="0" borderId="38" xfId="0" applyNumberFormat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1" xfId="0" applyBorder="1"/>
    <xf numFmtId="0" fontId="0" fillId="0" borderId="49" xfId="0" applyBorder="1"/>
    <xf numFmtId="0" fontId="0" fillId="0" borderId="13" xfId="0" applyBorder="1" applyAlignment="1">
      <alignment horizontal="center"/>
    </xf>
    <xf numFmtId="0" fontId="0" fillId="0" borderId="51" xfId="0" applyBorder="1" applyAlignment="1">
      <alignment horizontal="left"/>
    </xf>
    <xf numFmtId="0" fontId="0" fillId="0" borderId="49" xfId="0" applyBorder="1" applyAlignment="1">
      <alignment horizontal="left"/>
    </xf>
    <xf numFmtId="0" fontId="2" fillId="0" borderId="13" xfId="0" applyFont="1" applyBorder="1" applyAlignment="1">
      <alignment horizontal="left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vertical="center"/>
    </xf>
    <xf numFmtId="0" fontId="1" fillId="2" borderId="22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0" fillId="0" borderId="16" xfId="0" applyBorder="1"/>
    <xf numFmtId="0" fontId="6" fillId="0" borderId="13" xfId="0" applyFont="1" applyFill="1" applyBorder="1" applyAlignment="1">
      <alignment horizontal="center" vertical="top" wrapText="1"/>
    </xf>
    <xf numFmtId="0" fontId="11" fillId="0" borderId="0" xfId="0" applyFont="1"/>
    <xf numFmtId="0" fontId="12" fillId="3" borderId="0" xfId="0" applyFont="1" applyFill="1"/>
    <xf numFmtId="0" fontId="13" fillId="0" borderId="56" xfId="0" applyFont="1" applyFill="1" applyBorder="1" applyAlignment="1">
      <alignment horizontal="center" vertical="top" wrapText="1"/>
    </xf>
    <xf numFmtId="0" fontId="14" fillId="0" borderId="54" xfId="0" applyFont="1" applyFill="1" applyBorder="1"/>
    <xf numFmtId="0" fontId="11" fillId="0" borderId="42" xfId="0" applyFont="1" applyBorder="1" applyAlignment="1">
      <alignment horizontal="center"/>
    </xf>
    <xf numFmtId="10" fontId="11" fillId="0" borderId="43" xfId="0" applyNumberFormat="1" applyFont="1" applyBorder="1" applyAlignment="1">
      <alignment horizontal="center"/>
    </xf>
    <xf numFmtId="0" fontId="10" fillId="0" borderId="22" xfId="0" applyFont="1" applyFill="1" applyBorder="1"/>
    <xf numFmtId="0" fontId="13" fillId="0" borderId="4" xfId="0" applyFont="1" applyBorder="1" applyAlignment="1">
      <alignment horizontal="center"/>
    </xf>
    <xf numFmtId="10" fontId="13" fillId="0" borderId="6" xfId="0" applyNumberFormat="1" applyFont="1" applyBorder="1" applyAlignment="1">
      <alignment horizontal="center"/>
    </xf>
    <xf numFmtId="0" fontId="16" fillId="0" borderId="0" xfId="1" applyFont="1" applyFill="1" applyBorder="1"/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0" xfId="0" applyFill="1"/>
    <xf numFmtId="10" fontId="0" fillId="0" borderId="9" xfId="0" applyNumberFormat="1" applyFont="1" applyBorder="1" applyAlignment="1">
      <alignment horizontal="center"/>
    </xf>
    <xf numFmtId="0" fontId="6" fillId="0" borderId="22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/>
    </xf>
    <xf numFmtId="0" fontId="12" fillId="3" borderId="14" xfId="0" applyFont="1" applyFill="1" applyBorder="1" applyAlignment="1">
      <alignment horizontal="centerContinuous"/>
    </xf>
    <xf numFmtId="0" fontId="12" fillId="3" borderId="16" xfId="0" applyFont="1" applyFill="1" applyBorder="1" applyAlignment="1">
      <alignment horizontal="centerContinuous"/>
    </xf>
    <xf numFmtId="0" fontId="11" fillId="0" borderId="41" xfId="0" applyFont="1" applyBorder="1" applyAlignment="1">
      <alignment horizontal="center"/>
    </xf>
    <xf numFmtId="10" fontId="11" fillId="0" borderId="53" xfId="0" applyNumberFormat="1" applyFont="1" applyBorder="1" applyAlignment="1">
      <alignment horizontal="center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horizontal="center" vertical="top" wrapText="1"/>
    </xf>
    <xf numFmtId="0" fontId="13" fillId="0" borderId="44" xfId="0" applyFont="1" applyFill="1" applyBorder="1" applyAlignment="1">
      <alignment horizontal="center" vertical="top" wrapText="1"/>
    </xf>
    <xf numFmtId="0" fontId="12" fillId="3" borderId="59" xfId="0" applyFont="1" applyFill="1" applyBorder="1" applyAlignment="1">
      <alignment horizontal="centerContinuous"/>
    </xf>
    <xf numFmtId="0" fontId="13" fillId="4" borderId="4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11" fillId="0" borderId="0" xfId="0" applyFont="1" applyFill="1"/>
    <xf numFmtId="0" fontId="0" fillId="0" borderId="1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10" fontId="0" fillId="0" borderId="8" xfId="0" applyNumberForma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0" fontId="0" fillId="0" borderId="42" xfId="0" applyNumberFormat="1" applyFont="1" applyFill="1" applyBorder="1" applyAlignment="1">
      <alignment horizontal="center"/>
    </xf>
    <xf numFmtId="10" fontId="0" fillId="0" borderId="42" xfId="0" applyNumberFormat="1" applyFill="1" applyBorder="1" applyAlignment="1">
      <alignment horizontal="center"/>
    </xf>
    <xf numFmtId="10" fontId="0" fillId="0" borderId="37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17" xfId="0" applyFont="1" applyFill="1" applyBorder="1" applyAlignment="1">
      <alignment horizontal="left" vertical="top"/>
    </xf>
    <xf numFmtId="0" fontId="0" fillId="0" borderId="0" xfId="0" applyBorder="1"/>
    <xf numFmtId="0" fontId="11" fillId="0" borderId="54" xfId="0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22" xfId="0" applyFill="1" applyBorder="1"/>
    <xf numFmtId="0" fontId="3" fillId="0" borderId="0" xfId="0" quotePrefix="1" applyFont="1"/>
    <xf numFmtId="0" fontId="1" fillId="2" borderId="37" xfId="0" applyFont="1" applyFill="1" applyBorder="1"/>
    <xf numFmtId="0" fontId="1" fillId="2" borderId="37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wrapText="1"/>
    </xf>
    <xf numFmtId="0" fontId="2" fillId="5" borderId="37" xfId="0" applyFont="1" applyFill="1" applyBorder="1"/>
    <xf numFmtId="0" fontId="0" fillId="5" borderId="37" xfId="0" applyFill="1" applyBorder="1" applyAlignment="1">
      <alignment horizontal="center"/>
    </xf>
    <xf numFmtId="0" fontId="2" fillId="0" borderId="11" xfId="0" applyFont="1" applyFill="1" applyBorder="1"/>
    <xf numFmtId="0" fontId="0" fillId="5" borderId="42" xfId="0" applyFill="1" applyBorder="1" applyAlignment="1">
      <alignment horizontal="center"/>
    </xf>
    <xf numFmtId="0" fontId="3" fillId="0" borderId="0" xfId="0" applyFont="1" applyFill="1"/>
    <xf numFmtId="0" fontId="1" fillId="2" borderId="4" xfId="0" applyFont="1" applyFill="1" applyBorder="1" applyAlignment="1">
      <alignment horizontal="center"/>
    </xf>
    <xf numFmtId="0" fontId="0" fillId="0" borderId="54" xfId="0" applyFill="1" applyBorder="1"/>
    <xf numFmtId="0" fontId="0" fillId="0" borderId="17" xfId="0" applyFill="1" applyBorder="1"/>
    <xf numFmtId="0" fontId="2" fillId="0" borderId="0" xfId="0" applyFont="1" applyFill="1" applyBorder="1"/>
    <xf numFmtId="0" fontId="19" fillId="0" borderId="0" xfId="0" applyFont="1"/>
    <xf numFmtId="0" fontId="0" fillId="0" borderId="37" xfId="0" applyFill="1" applyBorder="1"/>
    <xf numFmtId="0" fontId="3" fillId="0" borderId="0" xfId="0" applyFont="1" applyFill="1" applyBorder="1"/>
    <xf numFmtId="0" fontId="2" fillId="0" borderId="22" xfId="0" applyFont="1" applyBorder="1"/>
    <xf numFmtId="0" fontId="20" fillId="0" borderId="0" xfId="0" applyFont="1" applyFill="1" applyBorder="1" applyAlignment="1">
      <alignment horizontal="center"/>
    </xf>
    <xf numFmtId="0" fontId="2" fillId="0" borderId="0" xfId="0" applyFont="1" applyBorder="1"/>
    <xf numFmtId="10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29" xfId="4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14" xfId="0" applyFont="1" applyFill="1" applyBorder="1"/>
    <xf numFmtId="0" fontId="0" fillId="0" borderId="32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10" fontId="2" fillId="0" borderId="24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9" fontId="0" fillId="0" borderId="38" xfId="4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9" fontId="0" fillId="0" borderId="9" xfId="4" applyFont="1" applyFill="1" applyBorder="1" applyAlignment="1">
      <alignment horizontal="center"/>
    </xf>
    <xf numFmtId="0" fontId="0" fillId="0" borderId="61" xfId="0" applyFill="1" applyBorder="1"/>
    <xf numFmtId="0" fontId="0" fillId="0" borderId="52" xfId="0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10" fontId="0" fillId="0" borderId="53" xfId="0" applyNumberFormat="1" applyFill="1" applyBorder="1" applyAlignment="1">
      <alignment horizontal="center"/>
    </xf>
    <xf numFmtId="10" fontId="0" fillId="0" borderId="47" xfId="0" applyNumberForma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31" xfId="0" applyFill="1" applyBorder="1" applyAlignment="1">
      <alignment horizontal="center"/>
    </xf>
    <xf numFmtId="10" fontId="2" fillId="0" borderId="44" xfId="0" applyNumberFormat="1" applyFont="1" applyFill="1" applyBorder="1" applyAlignment="1">
      <alignment horizontal="center"/>
    </xf>
    <xf numFmtId="10" fontId="0" fillId="0" borderId="45" xfId="0" applyNumberFormat="1" applyFont="1" applyBorder="1" applyAlignment="1">
      <alignment horizontal="center"/>
    </xf>
    <xf numFmtId="0" fontId="8" fillId="0" borderId="32" xfId="0" applyFont="1" applyFill="1" applyBorder="1"/>
    <xf numFmtId="0" fontId="0" fillId="0" borderId="52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10" fontId="6" fillId="0" borderId="5" xfId="0" applyNumberFormat="1" applyFont="1" applyBorder="1" applyAlignment="1">
      <alignment horizontal="center"/>
    </xf>
    <xf numFmtId="10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26" xfId="0" applyFont="1" applyFill="1" applyBorder="1"/>
    <xf numFmtId="0" fontId="0" fillId="0" borderId="27" xfId="0" applyFill="1" applyBorder="1"/>
    <xf numFmtId="0" fontId="0" fillId="0" borderId="25" xfId="0" applyFill="1" applyBorder="1"/>
    <xf numFmtId="10" fontId="5" fillId="0" borderId="43" xfId="0" applyNumberFormat="1" applyFont="1" applyBorder="1" applyAlignment="1">
      <alignment horizontal="center"/>
    </xf>
    <xf numFmtId="10" fontId="13" fillId="0" borderId="21" xfId="0" applyNumberFormat="1" applyFont="1" applyBorder="1" applyAlignment="1">
      <alignment horizontal="center"/>
    </xf>
    <xf numFmtId="10" fontId="11" fillId="0" borderId="12" xfId="0" applyNumberFormat="1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55" xfId="0" applyFill="1" applyBorder="1"/>
    <xf numFmtId="0" fontId="2" fillId="0" borderId="42" xfId="0" applyFont="1" applyFill="1" applyBorder="1"/>
    <xf numFmtId="0" fontId="5" fillId="0" borderId="37" xfId="0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164" fontId="5" fillId="0" borderId="53" xfId="4" applyNumberFormat="1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4" fontId="5" fillId="0" borderId="62" xfId="4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4" fillId="0" borderId="14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24" xfId="0" applyFont="1" applyFill="1" applyBorder="1" applyAlignment="1">
      <alignment horizontal="center" vertical="center"/>
    </xf>
    <xf numFmtId="0" fontId="24" fillId="0" borderId="17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7" fillId="0" borderId="19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2" fillId="0" borderId="13" xfId="0" applyFont="1" applyFill="1" applyBorder="1" applyAlignment="1">
      <alignment horizontal="left"/>
    </xf>
    <xf numFmtId="0" fontId="0" fillId="0" borderId="0" xfId="0" applyFont="1" applyFill="1"/>
    <xf numFmtId="0" fontId="28" fillId="0" borderId="0" xfId="0" applyFont="1" applyAlignment="1">
      <alignment vertical="center"/>
    </xf>
    <xf numFmtId="0" fontId="24" fillId="0" borderId="19" xfId="0" applyFont="1" applyBorder="1" applyAlignment="1">
      <alignment vertical="center" wrapText="1"/>
    </xf>
    <xf numFmtId="0" fontId="1" fillId="2" borderId="34" xfId="0" applyFont="1" applyFill="1" applyBorder="1"/>
    <xf numFmtId="0" fontId="1" fillId="2" borderId="66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56" xfId="0" applyFill="1" applyBorder="1"/>
    <xf numFmtId="0" fontId="0" fillId="0" borderId="7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54" xfId="0" applyFill="1" applyBorder="1" applyAlignment="1">
      <alignment wrapText="1"/>
    </xf>
    <xf numFmtId="0" fontId="0" fillId="0" borderId="19" xfId="0" applyFill="1" applyBorder="1"/>
    <xf numFmtId="0" fontId="0" fillId="0" borderId="10" xfId="0" applyFill="1" applyBorder="1" applyAlignment="1">
      <alignment horizontal="center"/>
    </xf>
    <xf numFmtId="9" fontId="0" fillId="0" borderId="12" xfId="4" applyFont="1" applyFill="1" applyBorder="1" applyAlignment="1">
      <alignment horizontal="center"/>
    </xf>
    <xf numFmtId="0" fontId="0" fillId="0" borderId="0" xfId="0"/>
    <xf numFmtId="10" fontId="0" fillId="0" borderId="52" xfId="4" applyNumberFormat="1" applyFont="1" applyBorder="1" applyAlignment="1">
      <alignment horizontal="center"/>
    </xf>
    <xf numFmtId="10" fontId="0" fillId="0" borderId="53" xfId="0" applyNumberFormat="1" applyFont="1" applyFill="1" applyBorder="1" applyAlignment="1">
      <alignment horizontal="center"/>
    </xf>
    <xf numFmtId="0" fontId="0" fillId="0" borderId="13" xfId="0" applyFill="1" applyBorder="1"/>
    <xf numFmtId="164" fontId="2" fillId="0" borderId="11" xfId="0" applyNumberFormat="1" applyFont="1" applyFill="1" applyBorder="1" applyAlignment="1">
      <alignment horizontal="center"/>
    </xf>
    <xf numFmtId="164" fontId="5" fillId="0" borderId="37" xfId="0" applyNumberFormat="1" applyFont="1" applyFill="1" applyBorder="1" applyAlignment="1">
      <alignment horizontal="center"/>
    </xf>
    <xf numFmtId="0" fontId="21" fillId="2" borderId="25" xfId="0" applyFont="1" applyFill="1" applyBorder="1" applyAlignment="1">
      <alignment horizontal="center"/>
    </xf>
    <xf numFmtId="9" fontId="21" fillId="2" borderId="34" xfId="0" applyNumberFormat="1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left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10" fontId="2" fillId="0" borderId="13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165" fontId="1" fillId="2" borderId="37" xfId="0" applyNumberFormat="1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wrapText="1"/>
    </xf>
    <xf numFmtId="0" fontId="0" fillId="0" borderId="37" xfId="0" applyFont="1" applyBorder="1"/>
    <xf numFmtId="166" fontId="0" fillId="0" borderId="37" xfId="0" applyNumberFormat="1" applyFont="1" applyBorder="1" applyAlignment="1">
      <alignment horizontal="center"/>
    </xf>
    <xf numFmtId="0" fontId="0" fillId="0" borderId="37" xfId="0" applyFont="1" applyFill="1" applyBorder="1"/>
    <xf numFmtId="166" fontId="0" fillId="0" borderId="0" xfId="0" applyNumberFormat="1" applyFont="1"/>
    <xf numFmtId="166" fontId="0" fillId="0" borderId="37" xfId="0" applyNumberFormat="1" applyFont="1" applyFill="1" applyBorder="1" applyAlignment="1">
      <alignment horizontal="center"/>
    </xf>
    <xf numFmtId="0" fontId="0" fillId="0" borderId="37" xfId="0" applyFont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0" borderId="0" xfId="0" applyNumberFormat="1" applyAlignment="1">
      <alignment horizontal="left"/>
    </xf>
    <xf numFmtId="166" fontId="5" fillId="0" borderId="37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9" fontId="5" fillId="0" borderId="21" xfId="4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0" xfId="0"/>
    <xf numFmtId="0" fontId="6" fillId="0" borderId="24" xfId="0" applyFont="1" applyFill="1" applyBorder="1" applyAlignment="1">
      <alignment horizontal="center" vertical="top" wrapText="1"/>
    </xf>
    <xf numFmtId="10" fontId="0" fillId="0" borderId="43" xfId="0" applyNumberFormat="1" applyFont="1" applyFill="1" applyBorder="1" applyAlignment="1">
      <alignment horizontal="center"/>
    </xf>
    <xf numFmtId="1" fontId="0" fillId="0" borderId="4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0" fontId="0" fillId="0" borderId="2" xfId="0" applyNumberFormat="1" applyFont="1" applyFill="1" applyBorder="1" applyAlignment="1">
      <alignment horizontal="center"/>
    </xf>
    <xf numFmtId="1" fontId="0" fillId="0" borderId="39" xfId="0" applyNumberFormat="1" applyFont="1" applyFill="1" applyBorder="1" applyAlignment="1">
      <alignment horizontal="center"/>
    </xf>
    <xf numFmtId="10" fontId="0" fillId="0" borderId="40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0" fontId="0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0" fillId="0" borderId="68" xfId="0" applyFill="1" applyBorder="1" applyAlignment="1">
      <alignment horizontal="center" vertical="top" wrapText="1"/>
    </xf>
    <xf numFmtId="0" fontId="2" fillId="0" borderId="67" xfId="0" applyFont="1" applyBorder="1" applyAlignment="1">
      <alignment horizontal="center"/>
    </xf>
    <xf numFmtId="10" fontId="0" fillId="0" borderId="0" xfId="0" applyNumberFormat="1"/>
    <xf numFmtId="10" fontId="0" fillId="0" borderId="53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0" fontId="2" fillId="0" borderId="23" xfId="0" applyNumberFormat="1" applyFont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9" fontId="0" fillId="0" borderId="37" xfId="4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1" xfId="4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 wrapText="1"/>
    </xf>
    <xf numFmtId="0" fontId="0" fillId="0" borderId="0" xfId="0"/>
    <xf numFmtId="0" fontId="2" fillId="0" borderId="26" xfId="0" applyFont="1" applyFill="1" applyBorder="1" applyAlignment="1">
      <alignment horizontal="center"/>
    </xf>
    <xf numFmtId="0" fontId="0" fillId="0" borderId="66" xfId="0" applyFill="1" applyBorder="1" applyAlignment="1">
      <alignment horizontal="center" vertical="top" wrapText="1"/>
    </xf>
    <xf numFmtId="0" fontId="0" fillId="0" borderId="59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2" fillId="0" borderId="27" xfId="0" applyFont="1" applyBorder="1"/>
    <xf numFmtId="10" fontId="2" fillId="0" borderId="70" xfId="0" applyNumberFormat="1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10" fontId="2" fillId="0" borderId="69" xfId="0" applyNumberFormat="1" applyFont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10" fontId="2" fillId="0" borderId="58" xfId="0" applyNumberFormat="1" applyFont="1" applyBorder="1" applyAlignment="1">
      <alignment horizontal="center"/>
    </xf>
    <xf numFmtId="0" fontId="6" fillId="0" borderId="34" xfId="0" applyFont="1" applyFill="1" applyBorder="1" applyAlignment="1">
      <alignment horizontal="center" vertical="top" wrapText="1"/>
    </xf>
    <xf numFmtId="0" fontId="6" fillId="0" borderId="35" xfId="0" applyFont="1" applyFill="1" applyBorder="1" applyAlignment="1">
      <alignment horizontal="center" vertical="top" wrapText="1"/>
    </xf>
    <xf numFmtId="0" fontId="6" fillId="0" borderId="71" xfId="0" applyFont="1" applyFill="1" applyBorder="1" applyAlignment="1">
      <alignment horizontal="center"/>
    </xf>
    <xf numFmtId="10" fontId="2" fillId="0" borderId="58" xfId="0" applyNumberFormat="1" applyFont="1" applyFill="1" applyBorder="1" applyAlignment="1">
      <alignment horizontal="center"/>
    </xf>
    <xf numFmtId="1" fontId="11" fillId="0" borderId="42" xfId="0" applyNumberFormat="1" applyFont="1" applyBorder="1" applyAlignment="1">
      <alignment horizontal="center"/>
    </xf>
    <xf numFmtId="1" fontId="11" fillId="0" borderId="36" xfId="0" applyNumberFormat="1" applyFont="1" applyBorder="1" applyAlignment="1">
      <alignment horizontal="center"/>
    </xf>
    <xf numFmtId="1" fontId="13" fillId="0" borderId="24" xfId="4" applyNumberFormat="1" applyFont="1" applyBorder="1" applyAlignment="1">
      <alignment horizontal="center"/>
    </xf>
    <xf numFmtId="10" fontId="13" fillId="0" borderId="24" xfId="0" applyNumberFormat="1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9" fontId="0" fillId="0" borderId="63" xfId="4" applyFont="1" applyFill="1" applyBorder="1" applyAlignment="1">
      <alignment horizontal="center"/>
    </xf>
    <xf numFmtId="9" fontId="2" fillId="0" borderId="6" xfId="4" applyFont="1" applyBorder="1" applyAlignment="1">
      <alignment horizontal="center"/>
    </xf>
    <xf numFmtId="9" fontId="6" fillId="0" borderId="24" xfId="0" applyNumberFormat="1" applyFont="1" applyFill="1" applyBorder="1" applyAlignment="1">
      <alignment horizontal="center"/>
    </xf>
    <xf numFmtId="9" fontId="6" fillId="0" borderId="23" xfId="4" applyNumberFormat="1" applyFont="1" applyFill="1" applyBorder="1" applyAlignment="1">
      <alignment horizontal="center"/>
    </xf>
    <xf numFmtId="9" fontId="6" fillId="0" borderId="24" xfId="4" applyNumberFormat="1" applyFont="1" applyFill="1" applyBorder="1" applyAlignment="1">
      <alignment horizontal="center"/>
    </xf>
    <xf numFmtId="0" fontId="27" fillId="0" borderId="27" xfId="0" applyFont="1" applyBorder="1" applyAlignment="1">
      <alignment horizontal="center"/>
    </xf>
    <xf numFmtId="9" fontId="2" fillId="0" borderId="27" xfId="0" applyNumberFormat="1" applyFont="1" applyBorder="1" applyAlignment="1">
      <alignment horizontal="center"/>
    </xf>
    <xf numFmtId="9" fontId="0" fillId="0" borderId="0" xfId="4" applyFont="1"/>
    <xf numFmtId="164" fontId="0" fillId="0" borderId="0" xfId="4" applyNumberFormat="1" applyFont="1"/>
    <xf numFmtId="0" fontId="11" fillId="0" borderId="54" xfId="0" applyFont="1" applyFill="1" applyBorder="1" applyAlignment="1">
      <alignment wrapText="1"/>
    </xf>
    <xf numFmtId="0" fontId="5" fillId="0" borderId="17" xfId="0" applyFont="1" applyBorder="1"/>
    <xf numFmtId="0" fontId="11" fillId="0" borderId="55" xfId="0" applyFont="1" applyFill="1" applyBorder="1"/>
    <xf numFmtId="0" fontId="0" fillId="0" borderId="0" xfId="0"/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0" fontId="6" fillId="0" borderId="26" xfId="0" applyNumberFormat="1" applyFont="1" applyFill="1" applyBorder="1" applyAlignment="1">
      <alignment horizontal="center"/>
    </xf>
    <xf numFmtId="0" fontId="0" fillId="0" borderId="0" xfId="0"/>
    <xf numFmtId="0" fontId="0" fillId="0" borderId="72" xfId="0" applyFill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0" fillId="0" borderId="74" xfId="0" applyFill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61" xfId="0" applyBorder="1"/>
    <xf numFmtId="0" fontId="0" fillId="0" borderId="54" xfId="0" applyBorder="1"/>
    <xf numFmtId="0" fontId="0" fillId="0" borderId="4" xfId="0" applyFill="1" applyBorder="1" applyAlignment="1">
      <alignment horizontal="center" vertical="top" wrapText="1"/>
    </xf>
    <xf numFmtId="0" fontId="0" fillId="0" borderId="71" xfId="0" applyFill="1" applyBorder="1" applyAlignment="1">
      <alignment horizontal="center"/>
    </xf>
    <xf numFmtId="0" fontId="0" fillId="0" borderId="70" xfId="0" applyFill="1" applyBorder="1" applyAlignment="1">
      <alignment horizontal="center"/>
    </xf>
    <xf numFmtId="0" fontId="0" fillId="0" borderId="51" xfId="0" applyBorder="1" applyAlignment="1">
      <alignment wrapText="1"/>
    </xf>
    <xf numFmtId="0" fontId="0" fillId="0" borderId="49" xfId="0" applyBorder="1" applyAlignment="1">
      <alignment wrapText="1"/>
    </xf>
    <xf numFmtId="10" fontId="0" fillId="0" borderId="8" xfId="0" applyNumberFormat="1" applyFont="1" applyBorder="1" applyAlignment="1">
      <alignment horizontal="center"/>
    </xf>
    <xf numFmtId="10" fontId="0" fillId="0" borderId="37" xfId="0" applyNumberFormat="1" applyFont="1" applyBorder="1" applyAlignment="1">
      <alignment horizontal="center"/>
    </xf>
    <xf numFmtId="0" fontId="0" fillId="0" borderId="0" xfId="0"/>
    <xf numFmtId="0" fontId="0" fillId="0" borderId="34" xfId="0" applyBorder="1" applyAlignment="1">
      <alignment horizontal="center"/>
    </xf>
    <xf numFmtId="10" fontId="0" fillId="0" borderId="3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0" xfId="0"/>
    <xf numFmtId="0" fontId="0" fillId="0" borderId="49" xfId="0" applyFill="1" applyBorder="1"/>
    <xf numFmtId="0" fontId="0" fillId="0" borderId="75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13" xfId="0" applyFont="1" applyFill="1" applyBorder="1"/>
    <xf numFmtId="0" fontId="2" fillId="0" borderId="13" xfId="0" applyFont="1" applyBorder="1" applyAlignment="1">
      <alignment horizont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10" fontId="5" fillId="0" borderId="22" xfId="0" applyNumberFormat="1" applyFont="1" applyFill="1" applyBorder="1" applyAlignment="1">
      <alignment horizontal="center"/>
    </xf>
    <xf numFmtId="10" fontId="5" fillId="0" borderId="24" xfId="0" applyNumberFormat="1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 vertical="top"/>
    </xf>
    <xf numFmtId="0" fontId="1" fillId="2" borderId="67" xfId="0" applyFont="1" applyFill="1" applyBorder="1" applyAlignment="1">
      <alignment horizontal="center" vertical="top"/>
    </xf>
    <xf numFmtId="0" fontId="7" fillId="3" borderId="46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0" fontId="5" fillId="0" borderId="13" xfId="0" applyNumberFormat="1" applyFon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 wrapText="1"/>
    </xf>
    <xf numFmtId="0" fontId="7" fillId="3" borderId="60" xfId="0" applyFont="1" applyFill="1" applyBorder="1" applyAlignment="1">
      <alignment horizontal="center" wrapText="1"/>
    </xf>
    <xf numFmtId="0" fontId="7" fillId="3" borderId="5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5" fillId="6" borderId="65" xfId="0" applyFont="1" applyFill="1" applyBorder="1" applyAlignment="1">
      <alignment horizontal="center" vertical="center"/>
    </xf>
    <xf numFmtId="0" fontId="25" fillId="6" borderId="6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0" fillId="0" borderId="0" xfId="0"/>
    <xf numFmtId="0" fontId="25" fillId="6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ercent" xfId="4" builtinId="5"/>
    <cellStyle name="Per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qtrim\TRIM_DATA$\epru.husseyin\TRIM\TEMP\HPTRIM.36664\IPCC%2012505-003%20%20FOI%20Stats%2031%20March%20201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ex-police staff"/>
      <sheetName val="No ex-police_seperated"/>
      <sheetName val="Ex police officer_job"/>
      <sheetName val="Ex police civilian_job"/>
      <sheetName val="No of employees"/>
      <sheetName val="No of leavers "/>
    </sheetNames>
    <sheetDataSet>
      <sheetData sheetId="0">
        <row r="32">
          <cell r="C32">
            <v>28</v>
          </cell>
        </row>
        <row r="33">
          <cell r="C33">
            <v>22</v>
          </cell>
        </row>
        <row r="34">
          <cell r="C34">
            <v>327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8"/>
  <sheetViews>
    <sheetView tabSelected="1" zoomScale="90" zoomScaleNormal="90" workbookViewId="0">
      <selection sqref="A1:C1"/>
    </sheetView>
  </sheetViews>
  <sheetFormatPr defaultRowHeight="14.25" x14ac:dyDescent="0.45"/>
  <cols>
    <col min="1" max="1" width="41" customWidth="1"/>
    <col min="2" max="6" width="11.73046875" style="10" customWidth="1"/>
    <col min="7" max="7" width="13.73046875" style="10" bestFit="1" customWidth="1"/>
    <col min="8" max="8" width="13.86328125" bestFit="1" customWidth="1"/>
    <col min="9" max="9" width="11.73046875" customWidth="1"/>
    <col min="10" max="10" width="11.73046875" style="257" customWidth="1"/>
    <col min="11" max="11" width="11.73046875" customWidth="1"/>
  </cols>
  <sheetData>
    <row r="1" spans="1:10" s="324" customFormat="1" ht="15.75" x14ac:dyDescent="0.5">
      <c r="A1" s="399" t="s">
        <v>201</v>
      </c>
      <c r="B1" s="399"/>
      <c r="C1" s="399"/>
      <c r="D1" s="10"/>
      <c r="E1" s="10"/>
      <c r="F1" s="10"/>
      <c r="G1" s="10"/>
    </row>
    <row r="2" spans="1:10" s="324" customFormat="1" ht="14.65" thickBot="1" x14ac:dyDescent="0.5">
      <c r="B2" s="10"/>
      <c r="C2" s="10"/>
      <c r="D2" s="10"/>
      <c r="E2" s="10"/>
      <c r="F2" s="10"/>
      <c r="G2" s="10"/>
    </row>
    <row r="3" spans="1:10" s="324" customFormat="1" ht="36.75" customHeight="1" thickBot="1" x14ac:dyDescent="0.5">
      <c r="A3" s="80" t="s">
        <v>6</v>
      </c>
      <c r="B3" s="132" t="s">
        <v>170</v>
      </c>
      <c r="C3" s="15" t="s">
        <v>26</v>
      </c>
      <c r="D3" s="15" t="s">
        <v>27</v>
      </c>
      <c r="E3" s="15" t="s">
        <v>28</v>
      </c>
      <c r="F3" s="15" t="s">
        <v>91</v>
      </c>
      <c r="G3" s="16" t="s">
        <v>29</v>
      </c>
      <c r="H3" s="81" t="s">
        <v>149</v>
      </c>
      <c r="I3" s="81" t="s">
        <v>49</v>
      </c>
      <c r="J3" s="81" t="s">
        <v>2</v>
      </c>
    </row>
    <row r="4" spans="1:10" s="324" customFormat="1" x14ac:dyDescent="0.45">
      <c r="A4" s="11" t="s">
        <v>7</v>
      </c>
      <c r="B4" s="113">
        <v>0</v>
      </c>
      <c r="C4" s="113">
        <v>5</v>
      </c>
      <c r="D4" s="113">
        <v>6</v>
      </c>
      <c r="E4" s="113">
        <v>4</v>
      </c>
      <c r="F4" s="114">
        <v>0</v>
      </c>
      <c r="G4" s="143">
        <f>B4+C4+D4+E4+F4</f>
        <v>15</v>
      </c>
      <c r="H4" s="114">
        <v>0</v>
      </c>
      <c r="I4" s="113">
        <v>0</v>
      </c>
      <c r="J4" s="363">
        <f>SUM(G4:I4)</f>
        <v>15</v>
      </c>
    </row>
    <row r="5" spans="1:10" s="324" customFormat="1" x14ac:dyDescent="0.45">
      <c r="A5" s="11" t="s">
        <v>8</v>
      </c>
      <c r="B5" s="115">
        <v>0</v>
      </c>
      <c r="C5" s="115">
        <v>4</v>
      </c>
      <c r="D5" s="115">
        <v>16</v>
      </c>
      <c r="E5" s="115">
        <v>13</v>
      </c>
      <c r="F5" s="94">
        <v>2</v>
      </c>
      <c r="G5" s="143">
        <f t="shared" ref="G5:G15" si="0">B5+C5+D5+E5+F5</f>
        <v>35</v>
      </c>
      <c r="H5" s="94">
        <v>1</v>
      </c>
      <c r="I5" s="115">
        <v>0</v>
      </c>
      <c r="J5" s="364">
        <f t="shared" ref="J5:J16" si="1">SUM(G5:I5)</f>
        <v>36</v>
      </c>
    </row>
    <row r="6" spans="1:10" s="324" customFormat="1" x14ac:dyDescent="0.45">
      <c r="A6" s="11" t="s">
        <v>187</v>
      </c>
      <c r="B6" s="115">
        <v>0</v>
      </c>
      <c r="C6" s="115">
        <v>1</v>
      </c>
      <c r="D6" s="115">
        <v>2</v>
      </c>
      <c r="E6" s="115">
        <v>4</v>
      </c>
      <c r="F6" s="94">
        <v>1</v>
      </c>
      <c r="G6" s="143">
        <f t="shared" si="0"/>
        <v>8</v>
      </c>
      <c r="H6" s="94">
        <v>0</v>
      </c>
      <c r="I6" s="115">
        <v>0</v>
      </c>
      <c r="J6" s="364">
        <f t="shared" si="1"/>
        <v>8</v>
      </c>
    </row>
    <row r="7" spans="1:10" s="324" customFormat="1" x14ac:dyDescent="0.45">
      <c r="A7" s="11" t="s">
        <v>10</v>
      </c>
      <c r="B7" s="115">
        <v>0</v>
      </c>
      <c r="C7" s="115">
        <v>1</v>
      </c>
      <c r="D7" s="115">
        <v>13</v>
      </c>
      <c r="E7" s="115">
        <v>5</v>
      </c>
      <c r="F7" s="94">
        <v>2</v>
      </c>
      <c r="G7" s="143">
        <f t="shared" si="0"/>
        <v>21</v>
      </c>
      <c r="H7" s="94">
        <v>0</v>
      </c>
      <c r="I7" s="115">
        <v>0</v>
      </c>
      <c r="J7" s="364">
        <f t="shared" si="1"/>
        <v>21</v>
      </c>
    </row>
    <row r="8" spans="1:10" s="324" customFormat="1" x14ac:dyDescent="0.45">
      <c r="A8" s="11" t="s">
        <v>11</v>
      </c>
      <c r="B8" s="115">
        <v>0</v>
      </c>
      <c r="C8" s="115">
        <v>2</v>
      </c>
      <c r="D8" s="115">
        <v>11</v>
      </c>
      <c r="E8" s="115">
        <v>4</v>
      </c>
      <c r="F8" s="94">
        <v>0</v>
      </c>
      <c r="G8" s="143">
        <f t="shared" si="0"/>
        <v>17</v>
      </c>
      <c r="H8" s="94">
        <v>0</v>
      </c>
      <c r="I8" s="115">
        <v>0</v>
      </c>
      <c r="J8" s="364">
        <f t="shared" si="1"/>
        <v>17</v>
      </c>
    </row>
    <row r="9" spans="1:10" s="324" customFormat="1" x14ac:dyDescent="0.45">
      <c r="A9" s="11" t="s">
        <v>12</v>
      </c>
      <c r="B9" s="115">
        <v>0</v>
      </c>
      <c r="C9" s="115">
        <v>3</v>
      </c>
      <c r="D9" s="115">
        <v>14</v>
      </c>
      <c r="E9" s="115">
        <v>8</v>
      </c>
      <c r="F9" s="94">
        <v>1</v>
      </c>
      <c r="G9" s="143">
        <f t="shared" si="0"/>
        <v>26</v>
      </c>
      <c r="H9" s="94">
        <v>2</v>
      </c>
      <c r="I9" s="115">
        <v>0</v>
      </c>
      <c r="J9" s="364">
        <f t="shared" si="1"/>
        <v>28</v>
      </c>
    </row>
    <row r="10" spans="1:10" s="324" customFormat="1" x14ac:dyDescent="0.45">
      <c r="A10" s="11" t="s">
        <v>188</v>
      </c>
      <c r="B10" s="115">
        <v>0</v>
      </c>
      <c r="C10" s="115">
        <v>0</v>
      </c>
      <c r="D10" s="115">
        <v>7</v>
      </c>
      <c r="E10" s="115">
        <v>4</v>
      </c>
      <c r="F10" s="94">
        <v>1</v>
      </c>
      <c r="G10" s="143">
        <f t="shared" si="0"/>
        <v>12</v>
      </c>
      <c r="H10" s="94">
        <v>0</v>
      </c>
      <c r="I10" s="115">
        <v>0</v>
      </c>
      <c r="J10" s="364">
        <f t="shared" si="1"/>
        <v>12</v>
      </c>
    </row>
    <row r="11" spans="1:10" s="324" customFormat="1" x14ac:dyDescent="0.45">
      <c r="A11" s="11" t="s">
        <v>189</v>
      </c>
      <c r="B11" s="115">
        <v>0</v>
      </c>
      <c r="C11" s="115">
        <v>0</v>
      </c>
      <c r="D11" s="115">
        <v>1</v>
      </c>
      <c r="E11" s="115">
        <v>0</v>
      </c>
      <c r="F11" s="94">
        <v>0</v>
      </c>
      <c r="G11" s="143">
        <f t="shared" si="0"/>
        <v>1</v>
      </c>
      <c r="H11" s="94">
        <v>0</v>
      </c>
      <c r="I11" s="115">
        <v>0</v>
      </c>
      <c r="J11" s="364">
        <f t="shared" si="1"/>
        <v>1</v>
      </c>
    </row>
    <row r="12" spans="1:10" s="324" customFormat="1" x14ac:dyDescent="0.45">
      <c r="A12" s="11" t="s">
        <v>14</v>
      </c>
      <c r="B12" s="115">
        <v>0</v>
      </c>
      <c r="C12" s="115">
        <v>0</v>
      </c>
      <c r="D12" s="115">
        <v>2</v>
      </c>
      <c r="E12" s="115">
        <v>0</v>
      </c>
      <c r="F12" s="94">
        <v>1</v>
      </c>
      <c r="G12" s="143">
        <f t="shared" si="0"/>
        <v>3</v>
      </c>
      <c r="H12" s="94">
        <v>0</v>
      </c>
      <c r="I12" s="115">
        <v>0</v>
      </c>
      <c r="J12" s="364">
        <f t="shared" si="1"/>
        <v>3</v>
      </c>
    </row>
    <row r="13" spans="1:10" s="324" customFormat="1" x14ac:dyDescent="0.45">
      <c r="A13" s="11" t="s">
        <v>15</v>
      </c>
      <c r="B13" s="115">
        <v>0</v>
      </c>
      <c r="C13" s="115">
        <v>1</v>
      </c>
      <c r="D13" s="115">
        <v>5</v>
      </c>
      <c r="E13" s="115">
        <v>1</v>
      </c>
      <c r="F13" s="94">
        <v>0</v>
      </c>
      <c r="G13" s="143">
        <f t="shared" si="0"/>
        <v>7</v>
      </c>
      <c r="H13" s="94">
        <v>0</v>
      </c>
      <c r="I13" s="115">
        <v>0</v>
      </c>
      <c r="J13" s="364">
        <f t="shared" si="1"/>
        <v>7</v>
      </c>
    </row>
    <row r="14" spans="1:10" s="324" customFormat="1" x14ac:dyDescent="0.45">
      <c r="A14" s="11" t="s">
        <v>16</v>
      </c>
      <c r="B14" s="115">
        <v>0</v>
      </c>
      <c r="C14" s="115">
        <v>1</v>
      </c>
      <c r="D14" s="115">
        <v>5</v>
      </c>
      <c r="E14" s="115">
        <v>1</v>
      </c>
      <c r="F14" s="94">
        <v>0</v>
      </c>
      <c r="G14" s="143">
        <f t="shared" si="0"/>
        <v>7</v>
      </c>
      <c r="H14" s="94">
        <v>0</v>
      </c>
      <c r="I14" s="115">
        <v>0</v>
      </c>
      <c r="J14" s="364">
        <f t="shared" si="1"/>
        <v>7</v>
      </c>
    </row>
    <row r="15" spans="1:10" s="324" customFormat="1" x14ac:dyDescent="0.45">
      <c r="A15" s="11" t="s">
        <v>17</v>
      </c>
      <c r="B15" s="115">
        <v>0</v>
      </c>
      <c r="C15" s="115">
        <v>0</v>
      </c>
      <c r="D15" s="115">
        <v>3</v>
      </c>
      <c r="E15" s="115">
        <v>2</v>
      </c>
      <c r="F15" s="94">
        <v>0</v>
      </c>
      <c r="G15" s="143">
        <f t="shared" si="0"/>
        <v>5</v>
      </c>
      <c r="H15" s="94">
        <v>0</v>
      </c>
      <c r="I15" s="115">
        <v>0</v>
      </c>
      <c r="J15" s="364">
        <f t="shared" si="1"/>
        <v>5</v>
      </c>
    </row>
    <row r="16" spans="1:10" s="324" customFormat="1" ht="14.65" thickBot="1" x14ac:dyDescent="0.5">
      <c r="A16" s="11" t="s">
        <v>190</v>
      </c>
      <c r="B16" s="173">
        <v>0</v>
      </c>
      <c r="C16" s="115">
        <v>3</v>
      </c>
      <c r="D16" s="115">
        <v>7</v>
      </c>
      <c r="E16" s="115">
        <v>6</v>
      </c>
      <c r="F16" s="94">
        <v>1</v>
      </c>
      <c r="G16" s="143">
        <f>B16+C16+D16+E16+F16</f>
        <v>17</v>
      </c>
      <c r="H16" s="94">
        <v>0</v>
      </c>
      <c r="I16" s="115">
        <v>0</v>
      </c>
      <c r="J16" s="365">
        <f t="shared" si="1"/>
        <v>17</v>
      </c>
    </row>
    <row r="17" spans="1:12" s="324" customFormat="1" x14ac:dyDescent="0.45">
      <c r="A17" s="397" t="s">
        <v>19</v>
      </c>
      <c r="B17" s="172">
        <f>SUM(B4:B16)</f>
        <v>0</v>
      </c>
      <c r="C17" s="116">
        <f>SUM(C4:C16)</f>
        <v>21</v>
      </c>
      <c r="D17" s="116">
        <f t="shared" ref="D17:H17" si="2">SUM(D4:D16)</f>
        <v>92</v>
      </c>
      <c r="E17" s="116">
        <f t="shared" si="2"/>
        <v>52</v>
      </c>
      <c r="F17" s="116">
        <f t="shared" si="2"/>
        <v>9</v>
      </c>
      <c r="G17" s="116">
        <f t="shared" si="2"/>
        <v>174</v>
      </c>
      <c r="H17" s="116">
        <f t="shared" si="2"/>
        <v>3</v>
      </c>
      <c r="I17" s="117">
        <f>SUM(I4:I16)</f>
        <v>0</v>
      </c>
      <c r="J17" s="325">
        <f>SUM(J4:J16)</f>
        <v>177</v>
      </c>
      <c r="K17" s="136"/>
      <c r="L17" s="137"/>
    </row>
    <row r="18" spans="1:12" s="324" customFormat="1" ht="14.65" thickBot="1" x14ac:dyDescent="0.5">
      <c r="A18" s="398"/>
      <c r="B18" s="32">
        <f t="shared" ref="B18:J18" si="3">B17/B30</f>
        <v>0</v>
      </c>
      <c r="C18" s="32">
        <f t="shared" si="3"/>
        <v>0.19811320754716982</v>
      </c>
      <c r="D18" s="32">
        <f t="shared" si="3"/>
        <v>0.18661257606490872</v>
      </c>
      <c r="E18" s="32">
        <f t="shared" si="3"/>
        <v>0.143646408839779</v>
      </c>
      <c r="F18" s="32">
        <f t="shared" si="3"/>
        <v>0.1111111111111111</v>
      </c>
      <c r="G18" s="32">
        <f t="shared" si="3"/>
        <v>0.16634799235181644</v>
      </c>
      <c r="H18" s="32">
        <f t="shared" si="3"/>
        <v>0.13043478260869565</v>
      </c>
      <c r="I18" s="32">
        <v>0</v>
      </c>
      <c r="J18" s="32">
        <f t="shared" si="3"/>
        <v>0.16557530402245088</v>
      </c>
      <c r="K18" s="136"/>
      <c r="L18" s="137"/>
    </row>
    <row r="19" spans="1:12" s="324" customFormat="1" x14ac:dyDescent="0.45">
      <c r="A19" s="12" t="s">
        <v>185</v>
      </c>
      <c r="B19" s="118">
        <v>0</v>
      </c>
      <c r="C19" s="113">
        <v>1</v>
      </c>
      <c r="D19" s="114">
        <v>1</v>
      </c>
      <c r="E19" s="228">
        <v>1</v>
      </c>
      <c r="F19" s="114">
        <v>0</v>
      </c>
      <c r="G19" s="117">
        <f>B19+C19+D19+E19+F19</f>
        <v>3</v>
      </c>
      <c r="H19" s="29">
        <v>0</v>
      </c>
      <c r="I19" s="29">
        <v>0</v>
      </c>
      <c r="J19" s="363">
        <f>SUM(G19:H19)</f>
        <v>3</v>
      </c>
      <c r="K19" s="136"/>
      <c r="L19" s="137"/>
    </row>
    <row r="20" spans="1:12" s="324" customFormat="1" x14ac:dyDescent="0.45">
      <c r="A20" s="13" t="s">
        <v>20</v>
      </c>
      <c r="B20" s="119">
        <v>0</v>
      </c>
      <c r="C20" s="115">
        <v>3</v>
      </c>
      <c r="D20" s="94">
        <v>12</v>
      </c>
      <c r="E20" s="227">
        <v>4</v>
      </c>
      <c r="F20" s="94">
        <v>0</v>
      </c>
      <c r="G20" s="325">
        <f>B20+C20+D20+E20+F20</f>
        <v>19</v>
      </c>
      <c r="H20" s="30">
        <v>0</v>
      </c>
      <c r="I20" s="30">
        <v>0</v>
      </c>
      <c r="J20" s="364">
        <f>SUM(G20:I20)</f>
        <v>19</v>
      </c>
      <c r="K20" s="136"/>
      <c r="L20" s="137"/>
    </row>
    <row r="21" spans="1:12" s="362" customFormat="1" x14ac:dyDescent="0.45">
      <c r="A21" s="13" t="s">
        <v>23</v>
      </c>
      <c r="B21" s="119">
        <v>0</v>
      </c>
      <c r="C21" s="115">
        <v>0</v>
      </c>
      <c r="D21" s="94">
        <v>5</v>
      </c>
      <c r="E21" s="227">
        <v>3</v>
      </c>
      <c r="F21" s="94">
        <v>0</v>
      </c>
      <c r="G21" s="325">
        <f>B21+C21+D21+E21+F21</f>
        <v>8</v>
      </c>
      <c r="H21" s="30">
        <v>0</v>
      </c>
      <c r="I21" s="30">
        <v>0</v>
      </c>
      <c r="J21" s="364">
        <f>SUM(G21:I21)</f>
        <v>8</v>
      </c>
      <c r="K21" s="136"/>
      <c r="L21" s="137"/>
    </row>
    <row r="22" spans="1:12" s="324" customFormat="1" ht="14.65" thickBot="1" x14ac:dyDescent="0.5">
      <c r="A22" s="14" t="s">
        <v>21</v>
      </c>
      <c r="B22" s="120">
        <v>0</v>
      </c>
      <c r="C22" s="173">
        <v>1</v>
      </c>
      <c r="D22" s="95">
        <v>5</v>
      </c>
      <c r="E22" s="229">
        <v>2</v>
      </c>
      <c r="F22" s="95">
        <v>0</v>
      </c>
      <c r="G22" s="366">
        <f>B22+C22+D22+E22+F22</f>
        <v>8</v>
      </c>
      <c r="H22" s="31">
        <v>2</v>
      </c>
      <c r="I22" s="30">
        <v>0</v>
      </c>
      <c r="J22" s="364">
        <f>SUM(G22:I22)</f>
        <v>10</v>
      </c>
      <c r="K22" s="136"/>
      <c r="L22" s="137"/>
    </row>
    <row r="23" spans="1:12" s="324" customFormat="1" x14ac:dyDescent="0.45">
      <c r="A23" s="397" t="s">
        <v>22</v>
      </c>
      <c r="B23" s="116">
        <f t="shared" ref="B23:I23" si="4">SUM(B19:B22)</f>
        <v>0</v>
      </c>
      <c r="C23" s="116">
        <f t="shared" si="4"/>
        <v>5</v>
      </c>
      <c r="D23" s="116">
        <f t="shared" si="4"/>
        <v>23</v>
      </c>
      <c r="E23" s="116">
        <f t="shared" si="4"/>
        <v>10</v>
      </c>
      <c r="F23" s="116">
        <f t="shared" si="4"/>
        <v>0</v>
      </c>
      <c r="G23" s="116">
        <f t="shared" si="4"/>
        <v>38</v>
      </c>
      <c r="H23" s="116">
        <f t="shared" si="4"/>
        <v>2</v>
      </c>
      <c r="I23" s="116">
        <f t="shared" si="4"/>
        <v>0</v>
      </c>
      <c r="J23" s="116">
        <f>SUM(G23:I23)</f>
        <v>40</v>
      </c>
      <c r="K23" s="136"/>
      <c r="L23" s="137"/>
    </row>
    <row r="24" spans="1:12" s="324" customFormat="1" ht="14.65" thickBot="1" x14ac:dyDescent="0.5">
      <c r="A24" s="398"/>
      <c r="B24" s="367">
        <f t="shared" ref="B24:H24" si="5">B23/B30</f>
        <v>0</v>
      </c>
      <c r="C24" s="367">
        <f>C23/C30</f>
        <v>4.716981132075472E-2</v>
      </c>
      <c r="D24" s="367">
        <f t="shared" si="5"/>
        <v>4.665314401622718E-2</v>
      </c>
      <c r="E24" s="367">
        <f t="shared" si="5"/>
        <v>2.7624309392265192E-2</v>
      </c>
      <c r="F24" s="367">
        <f t="shared" si="5"/>
        <v>0</v>
      </c>
      <c r="G24" s="367">
        <f t="shared" si="5"/>
        <v>3.6328871892925434E-2</v>
      </c>
      <c r="H24" s="367">
        <f t="shared" si="5"/>
        <v>8.6956521739130432E-2</v>
      </c>
      <c r="I24" s="367">
        <v>0</v>
      </c>
      <c r="J24" s="367">
        <f t="shared" ref="J24" si="6">J23/J30</f>
        <v>3.7418147801683815E-2</v>
      </c>
      <c r="K24" s="137"/>
      <c r="L24" s="137"/>
    </row>
    <row r="25" spans="1:12" s="324" customFormat="1" x14ac:dyDescent="0.45">
      <c r="A25" s="12" t="s">
        <v>24</v>
      </c>
      <c r="B25" s="118">
        <v>4</v>
      </c>
      <c r="C25" s="114">
        <v>77</v>
      </c>
      <c r="D25" s="114">
        <v>363</v>
      </c>
      <c r="E25" s="114">
        <v>287</v>
      </c>
      <c r="F25" s="114">
        <v>70</v>
      </c>
      <c r="G25" s="117">
        <f>B25+C25+D25+E25+F25</f>
        <v>801</v>
      </c>
      <c r="H25" s="29">
        <v>16</v>
      </c>
      <c r="I25" s="29">
        <v>0</v>
      </c>
      <c r="J25" s="363">
        <f>SUM(G25:I25)</f>
        <v>817</v>
      </c>
      <c r="K25" s="136"/>
      <c r="L25" s="137"/>
    </row>
    <row r="26" spans="1:12" s="324" customFormat="1" x14ac:dyDescent="0.45">
      <c r="A26" s="13" t="s">
        <v>25</v>
      </c>
      <c r="B26" s="119">
        <v>0</v>
      </c>
      <c r="C26" s="94">
        <v>2</v>
      </c>
      <c r="D26" s="94">
        <v>7</v>
      </c>
      <c r="E26" s="94">
        <v>7</v>
      </c>
      <c r="F26" s="94">
        <v>2</v>
      </c>
      <c r="G26" s="325">
        <f>B26+C26+D26+E26+F26</f>
        <v>18</v>
      </c>
      <c r="H26" s="30">
        <v>2</v>
      </c>
      <c r="I26" s="30">
        <v>0</v>
      </c>
      <c r="J26" s="364">
        <f>SUM(G26:I26)</f>
        <v>20</v>
      </c>
      <c r="K26" s="136"/>
      <c r="L26" s="137"/>
    </row>
    <row r="27" spans="1:12" s="324" customFormat="1" ht="14.65" thickBot="1" x14ac:dyDescent="0.5">
      <c r="A27" s="14" t="s">
        <v>18</v>
      </c>
      <c r="B27" s="120">
        <v>0</v>
      </c>
      <c r="C27" s="95">
        <v>1</v>
      </c>
      <c r="D27" s="95">
        <v>8</v>
      </c>
      <c r="E27" s="95">
        <v>6</v>
      </c>
      <c r="F27" s="95">
        <v>0</v>
      </c>
      <c r="G27" s="366">
        <f>B27+C27+D27+E27+F27</f>
        <v>15</v>
      </c>
      <c r="H27" s="31">
        <v>0</v>
      </c>
      <c r="I27" s="31">
        <v>0</v>
      </c>
      <c r="J27" s="365">
        <f>SUM(G27:I27)</f>
        <v>15</v>
      </c>
      <c r="K27" s="136"/>
      <c r="L27" s="137"/>
    </row>
    <row r="28" spans="1:12" s="324" customFormat="1" x14ac:dyDescent="0.45">
      <c r="A28" s="397" t="s">
        <v>55</v>
      </c>
      <c r="B28" s="226">
        <f>SUM(B25:B27)</f>
        <v>4</v>
      </c>
      <c r="C28" s="224">
        <f>SUM(C25:C27)</f>
        <v>80</v>
      </c>
      <c r="D28" s="226">
        <f t="shared" ref="D28:H28" si="7">SUM(D25:D27)</f>
        <v>378</v>
      </c>
      <c r="E28" s="226">
        <f t="shared" si="7"/>
        <v>300</v>
      </c>
      <c r="F28" s="225">
        <f t="shared" si="7"/>
        <v>72</v>
      </c>
      <c r="G28" s="96">
        <f t="shared" si="7"/>
        <v>834</v>
      </c>
      <c r="H28" s="18">
        <f t="shared" si="7"/>
        <v>18</v>
      </c>
      <c r="I28" s="18">
        <v>0</v>
      </c>
      <c r="J28" s="135">
        <f>SUM(J25:J27)</f>
        <v>852</v>
      </c>
      <c r="K28" s="136"/>
      <c r="L28" s="137"/>
    </row>
    <row r="29" spans="1:12" s="324" customFormat="1" ht="14.65" thickBot="1" x14ac:dyDescent="0.5">
      <c r="A29" s="398"/>
      <c r="B29" s="367">
        <f t="shared" ref="B29:H29" si="8">B28/B30</f>
        <v>1</v>
      </c>
      <c r="C29" s="367">
        <f t="shared" si="8"/>
        <v>0.75471698113207553</v>
      </c>
      <c r="D29" s="367">
        <f t="shared" si="8"/>
        <v>0.76673427991886411</v>
      </c>
      <c r="E29" s="367">
        <f t="shared" si="8"/>
        <v>0.82872928176795579</v>
      </c>
      <c r="F29" s="367">
        <f t="shared" si="8"/>
        <v>0.88888888888888884</v>
      </c>
      <c r="G29" s="367">
        <f t="shared" si="8"/>
        <v>0.79732313575525815</v>
      </c>
      <c r="H29" s="367">
        <f t="shared" si="8"/>
        <v>0.78260869565217395</v>
      </c>
      <c r="I29" s="367">
        <v>0</v>
      </c>
      <c r="J29" s="367">
        <f t="shared" ref="J29" si="9">J28/J30</f>
        <v>0.79700654817586525</v>
      </c>
      <c r="L29" s="137"/>
    </row>
    <row r="30" spans="1:12" s="324" customFormat="1" ht="14.65" thickBot="1" x14ac:dyDescent="0.5">
      <c r="A30" s="161" t="s">
        <v>2</v>
      </c>
      <c r="B30" s="167">
        <f t="shared" ref="B30:J30" si="10">B17+B23+B28</f>
        <v>4</v>
      </c>
      <c r="C30" s="167">
        <f t="shared" si="10"/>
        <v>106</v>
      </c>
      <c r="D30" s="167">
        <f t="shared" si="10"/>
        <v>493</v>
      </c>
      <c r="E30" s="167">
        <f t="shared" si="10"/>
        <v>362</v>
      </c>
      <c r="F30" s="167">
        <f t="shared" si="10"/>
        <v>81</v>
      </c>
      <c r="G30" s="167">
        <f t="shared" si="10"/>
        <v>1046</v>
      </c>
      <c r="H30" s="167">
        <f t="shared" si="10"/>
        <v>23</v>
      </c>
      <c r="I30" s="167">
        <f t="shared" si="10"/>
        <v>0</v>
      </c>
      <c r="J30" s="230">
        <f t="shared" si="10"/>
        <v>1069</v>
      </c>
      <c r="K30" s="162"/>
      <c r="L30" s="137"/>
    </row>
    <row r="31" spans="1:12" s="324" customFormat="1" ht="14.65" thickBot="1" x14ac:dyDescent="0.5">
      <c r="A31" s="82"/>
      <c r="B31" s="10"/>
      <c r="C31" s="10"/>
      <c r="D31" s="10"/>
      <c r="E31" s="10"/>
      <c r="F31" s="10"/>
      <c r="G31" s="10"/>
    </row>
    <row r="32" spans="1:12" s="324" customFormat="1" ht="14.65" thickBot="1" x14ac:dyDescent="0.5">
      <c r="A32" s="203" t="s">
        <v>42</v>
      </c>
      <c r="B32" s="276">
        <v>0.25</v>
      </c>
      <c r="C32" s="276">
        <v>0.1941747572815534</v>
      </c>
      <c r="D32" s="276">
        <v>0.1853932584269663</v>
      </c>
      <c r="E32" s="276">
        <v>0.15298507462686567</v>
      </c>
      <c r="F32" s="276">
        <v>0.12048192771084337</v>
      </c>
      <c r="G32" s="276">
        <v>0.17269076305220885</v>
      </c>
      <c r="H32" s="276">
        <v>0.14285714285714285</v>
      </c>
      <c r="I32" s="276">
        <v>0</v>
      </c>
      <c r="J32" s="276">
        <v>0.17207472959685349</v>
      </c>
    </row>
    <row r="33" spans="1:7" s="324" customFormat="1" ht="14.65" thickBot="1" x14ac:dyDescent="0.5">
      <c r="A33" s="204" t="s">
        <v>199</v>
      </c>
      <c r="B33" s="10"/>
      <c r="C33" s="10"/>
      <c r="D33" s="10"/>
      <c r="E33" s="10"/>
      <c r="F33" s="10"/>
      <c r="G33" s="10"/>
    </row>
    <row r="34" spans="1:7" s="324" customFormat="1" x14ac:dyDescent="0.45">
      <c r="B34" s="10"/>
      <c r="C34" s="10"/>
      <c r="D34" s="10"/>
      <c r="E34" s="10"/>
      <c r="F34" s="10"/>
      <c r="G34" s="10"/>
    </row>
    <row r="35" spans="1:7" s="324" customFormat="1" x14ac:dyDescent="0.45">
      <c r="B35" s="10"/>
      <c r="C35" s="10"/>
      <c r="D35" s="10"/>
      <c r="E35" s="10"/>
      <c r="F35" s="10"/>
      <c r="G35" s="10"/>
    </row>
    <row r="36" spans="1:7" s="324" customFormat="1" x14ac:dyDescent="0.45">
      <c r="A36" s="9" t="s">
        <v>144</v>
      </c>
      <c r="B36" s="10"/>
      <c r="C36" s="10"/>
      <c r="D36" s="10"/>
      <c r="E36" s="10"/>
      <c r="F36" s="10"/>
      <c r="G36" s="10"/>
    </row>
    <row r="37" spans="1:7" x14ac:dyDescent="0.45">
      <c r="A37" s="9" t="s">
        <v>152</v>
      </c>
    </row>
    <row r="38" spans="1:7" x14ac:dyDescent="0.45">
      <c r="A38" s="9"/>
    </row>
  </sheetData>
  <mergeCells count="4">
    <mergeCell ref="A28:A29"/>
    <mergeCell ref="A23:A24"/>
    <mergeCell ref="A17:A18"/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  <pageSetUpPr fitToPage="1"/>
  </sheetPr>
  <dimension ref="A1:S24"/>
  <sheetViews>
    <sheetView workbookViewId="0">
      <selection sqref="A1:D1"/>
    </sheetView>
  </sheetViews>
  <sheetFormatPr defaultRowHeight="14.25" x14ac:dyDescent="0.45"/>
  <cols>
    <col min="1" max="1" width="37.73046875" customWidth="1"/>
    <col min="3" max="3" width="9.1328125" customWidth="1"/>
  </cols>
  <sheetData>
    <row r="1" spans="1:19" s="324" customFormat="1" x14ac:dyDescent="0.45">
      <c r="A1" s="446" t="s">
        <v>212</v>
      </c>
      <c r="B1" s="446"/>
      <c r="C1" s="446"/>
      <c r="D1" s="446"/>
      <c r="E1" s="112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s="324" customFormat="1" ht="14.65" thickBot="1" x14ac:dyDescent="0.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s="324" customFormat="1" ht="14.65" thickBot="1" x14ac:dyDescent="0.5">
      <c r="A3" s="85" t="s">
        <v>6</v>
      </c>
      <c r="B3" s="101" t="s">
        <v>52</v>
      </c>
      <c r="C3" s="102"/>
      <c r="D3" s="449" t="s">
        <v>26</v>
      </c>
      <c r="E3" s="450"/>
      <c r="F3" s="449" t="s">
        <v>27</v>
      </c>
      <c r="G3" s="450"/>
      <c r="H3" s="449" t="s">
        <v>40</v>
      </c>
      <c r="I3" s="450"/>
      <c r="J3" s="447" t="s">
        <v>93</v>
      </c>
      <c r="K3" s="448"/>
      <c r="L3" s="101" t="s">
        <v>2</v>
      </c>
      <c r="M3" s="102"/>
      <c r="N3" s="437" t="s">
        <v>149</v>
      </c>
      <c r="O3" s="419"/>
      <c r="P3" s="411" t="s">
        <v>49</v>
      </c>
      <c r="Q3" s="412"/>
      <c r="R3" s="109" t="s">
        <v>2</v>
      </c>
      <c r="S3" s="102"/>
    </row>
    <row r="4" spans="1:19" s="324" customFormat="1" ht="28.9" thickBot="1" x14ac:dyDescent="0.5">
      <c r="A4" s="86" t="s">
        <v>1</v>
      </c>
      <c r="B4" s="105" t="s">
        <v>47</v>
      </c>
      <c r="C4" s="106" t="s">
        <v>48</v>
      </c>
      <c r="D4" s="105" t="s">
        <v>47</v>
      </c>
      <c r="E4" s="106" t="s">
        <v>48</v>
      </c>
      <c r="F4" s="105" t="s">
        <v>47</v>
      </c>
      <c r="G4" s="106" t="s">
        <v>48</v>
      </c>
      <c r="H4" s="105" t="s">
        <v>47</v>
      </c>
      <c r="I4" s="106" t="s">
        <v>48</v>
      </c>
      <c r="J4" s="107" t="s">
        <v>47</v>
      </c>
      <c r="K4" s="108" t="s">
        <v>48</v>
      </c>
      <c r="L4" s="105" t="s">
        <v>47</v>
      </c>
      <c r="M4" s="106" t="s">
        <v>48</v>
      </c>
      <c r="N4" s="133" t="s">
        <v>47</v>
      </c>
      <c r="O4" s="134" t="s">
        <v>48</v>
      </c>
      <c r="P4" s="99" t="s">
        <v>4</v>
      </c>
      <c r="Q4" s="299" t="s">
        <v>39</v>
      </c>
      <c r="R4" s="110" t="s">
        <v>47</v>
      </c>
      <c r="S4" s="111" t="s">
        <v>48</v>
      </c>
    </row>
    <row r="5" spans="1:19" s="324" customFormat="1" x14ac:dyDescent="0.45">
      <c r="A5" s="87" t="s">
        <v>7</v>
      </c>
      <c r="B5" s="103">
        <v>0</v>
      </c>
      <c r="C5" s="89" t="e">
        <f>B5/$B$22</f>
        <v>#DIV/0!</v>
      </c>
      <c r="D5" s="103">
        <v>0</v>
      </c>
      <c r="E5" s="89">
        <f t="shared" ref="E5:E21" si="0">D5/$D$22</f>
        <v>0</v>
      </c>
      <c r="F5" s="103">
        <v>0</v>
      </c>
      <c r="G5" s="89">
        <f t="shared" ref="G5:G21" si="1">F5/$F$22</f>
        <v>0</v>
      </c>
      <c r="H5" s="103">
        <v>0</v>
      </c>
      <c r="I5" s="89">
        <f t="shared" ref="I5:I21" si="2">H5/$H$22</f>
        <v>0</v>
      </c>
      <c r="J5" s="103">
        <v>0</v>
      </c>
      <c r="K5" s="104">
        <f t="shared" ref="K5:K21" si="3">J5/$J$22</f>
        <v>0</v>
      </c>
      <c r="L5" s="103">
        <f>B5+D5+F5+H5+J5</f>
        <v>0</v>
      </c>
      <c r="M5" s="89">
        <f t="shared" ref="M5:M21" si="4">L5/$L$22</f>
        <v>0</v>
      </c>
      <c r="N5" s="88">
        <v>0</v>
      </c>
      <c r="O5" s="89">
        <v>0</v>
      </c>
      <c r="P5" s="341">
        <v>0</v>
      </c>
      <c r="Q5" s="89">
        <v>0</v>
      </c>
      <c r="R5" s="342">
        <f>L5+N5+P5</f>
        <v>0</v>
      </c>
      <c r="S5" s="89">
        <f>R5/$R$22</f>
        <v>0</v>
      </c>
    </row>
    <row r="6" spans="1:19" s="324" customFormat="1" x14ac:dyDescent="0.45">
      <c r="A6" s="138" t="s">
        <v>8</v>
      </c>
      <c r="B6" s="103">
        <v>0</v>
      </c>
      <c r="C6" s="89" t="e">
        <f t="shared" ref="C6:C21" si="5">B6/$B$22</f>
        <v>#DIV/0!</v>
      </c>
      <c r="D6" s="103">
        <v>1</v>
      </c>
      <c r="E6" s="89">
        <f t="shared" si="0"/>
        <v>7.1428571428571425E-2</v>
      </c>
      <c r="F6" s="103">
        <v>3</v>
      </c>
      <c r="G6" s="89">
        <f t="shared" si="1"/>
        <v>5.3571428571428568E-2</v>
      </c>
      <c r="H6" s="103">
        <v>1</v>
      </c>
      <c r="I6" s="89">
        <f t="shared" si="2"/>
        <v>2.7777777777777776E-2</v>
      </c>
      <c r="J6" s="103">
        <v>1</v>
      </c>
      <c r="K6" s="104">
        <f t="shared" si="3"/>
        <v>8.3333333333333329E-2</v>
      </c>
      <c r="L6" s="103">
        <f t="shared" ref="L6:L21" si="6">B6+D6+F6+H6+J6</f>
        <v>6</v>
      </c>
      <c r="M6" s="89">
        <f t="shared" si="4"/>
        <v>5.0847457627118647E-2</v>
      </c>
      <c r="N6" s="88">
        <v>0</v>
      </c>
      <c r="O6" s="89">
        <v>0</v>
      </c>
      <c r="P6" s="341">
        <v>0</v>
      </c>
      <c r="Q6" s="89">
        <v>0</v>
      </c>
      <c r="R6" s="342">
        <f t="shared" ref="R6:R21" si="7">L6+N6+P6</f>
        <v>6</v>
      </c>
      <c r="S6" s="89">
        <f t="shared" ref="S6:S22" si="8">R6/$R$22</f>
        <v>4.9586776859504134E-2</v>
      </c>
    </row>
    <row r="7" spans="1:19" s="324" customFormat="1" x14ac:dyDescent="0.45">
      <c r="A7" s="138" t="s">
        <v>9</v>
      </c>
      <c r="B7" s="103">
        <v>0</v>
      </c>
      <c r="C7" s="89" t="e">
        <f t="shared" si="5"/>
        <v>#DIV/0!</v>
      </c>
      <c r="D7" s="103">
        <v>0</v>
      </c>
      <c r="E7" s="89">
        <f t="shared" si="0"/>
        <v>0</v>
      </c>
      <c r="F7" s="103">
        <v>1</v>
      </c>
      <c r="G7" s="89">
        <f t="shared" si="1"/>
        <v>1.7857142857142856E-2</v>
      </c>
      <c r="H7" s="103">
        <v>0</v>
      </c>
      <c r="I7" s="89">
        <f t="shared" si="2"/>
        <v>0</v>
      </c>
      <c r="J7" s="103">
        <v>0</v>
      </c>
      <c r="K7" s="104">
        <f t="shared" si="3"/>
        <v>0</v>
      </c>
      <c r="L7" s="103">
        <f t="shared" si="6"/>
        <v>1</v>
      </c>
      <c r="M7" s="89">
        <f t="shared" si="4"/>
        <v>8.4745762711864406E-3</v>
      </c>
      <c r="N7" s="88">
        <v>0</v>
      </c>
      <c r="O7" s="89">
        <v>0</v>
      </c>
      <c r="P7" s="341">
        <v>0</v>
      </c>
      <c r="Q7" s="89">
        <v>0</v>
      </c>
      <c r="R7" s="342">
        <f t="shared" si="7"/>
        <v>1</v>
      </c>
      <c r="S7" s="89">
        <f t="shared" si="8"/>
        <v>8.2644628099173556E-3</v>
      </c>
    </row>
    <row r="8" spans="1:19" s="324" customFormat="1" x14ac:dyDescent="0.45">
      <c r="A8" s="138" t="s">
        <v>10</v>
      </c>
      <c r="B8" s="103">
        <v>0</v>
      </c>
      <c r="C8" s="89" t="e">
        <f t="shared" si="5"/>
        <v>#DIV/0!</v>
      </c>
      <c r="D8" s="103">
        <v>1</v>
      </c>
      <c r="E8" s="89">
        <f t="shared" si="0"/>
        <v>7.1428571428571425E-2</v>
      </c>
      <c r="F8" s="103">
        <v>1</v>
      </c>
      <c r="G8" s="89">
        <f t="shared" si="1"/>
        <v>1.7857142857142856E-2</v>
      </c>
      <c r="H8" s="103">
        <v>0</v>
      </c>
      <c r="I8" s="89">
        <f t="shared" si="2"/>
        <v>0</v>
      </c>
      <c r="J8" s="103">
        <v>0</v>
      </c>
      <c r="K8" s="104">
        <f t="shared" si="3"/>
        <v>0</v>
      </c>
      <c r="L8" s="103">
        <f t="shared" si="6"/>
        <v>2</v>
      </c>
      <c r="M8" s="89">
        <f t="shared" si="4"/>
        <v>1.6949152542372881E-2</v>
      </c>
      <c r="N8" s="88">
        <v>0</v>
      </c>
      <c r="O8" s="89">
        <v>0</v>
      </c>
      <c r="P8" s="341">
        <v>0</v>
      </c>
      <c r="Q8" s="89">
        <v>0</v>
      </c>
      <c r="R8" s="342">
        <f t="shared" si="7"/>
        <v>2</v>
      </c>
      <c r="S8" s="89">
        <f t="shared" si="8"/>
        <v>1.6528925619834711E-2</v>
      </c>
    </row>
    <row r="9" spans="1:19" s="324" customFormat="1" x14ac:dyDescent="0.45">
      <c r="A9" s="138" t="s">
        <v>11</v>
      </c>
      <c r="B9" s="103">
        <v>0</v>
      </c>
      <c r="C9" s="89" t="e">
        <f t="shared" si="5"/>
        <v>#DIV/0!</v>
      </c>
      <c r="D9" s="103">
        <v>0</v>
      </c>
      <c r="E9" s="89">
        <f t="shared" si="0"/>
        <v>0</v>
      </c>
      <c r="F9" s="103">
        <v>1</v>
      </c>
      <c r="G9" s="89">
        <f t="shared" si="1"/>
        <v>1.7857142857142856E-2</v>
      </c>
      <c r="H9" s="103">
        <v>1</v>
      </c>
      <c r="I9" s="89">
        <f t="shared" si="2"/>
        <v>2.7777777777777776E-2</v>
      </c>
      <c r="J9" s="103">
        <v>0</v>
      </c>
      <c r="K9" s="104">
        <f t="shared" si="3"/>
        <v>0</v>
      </c>
      <c r="L9" s="103">
        <f t="shared" si="6"/>
        <v>2</v>
      </c>
      <c r="M9" s="89">
        <f t="shared" si="4"/>
        <v>1.6949152542372881E-2</v>
      </c>
      <c r="N9" s="88">
        <v>0</v>
      </c>
      <c r="O9" s="89">
        <v>0</v>
      </c>
      <c r="P9" s="341">
        <v>0</v>
      </c>
      <c r="Q9" s="89">
        <v>0</v>
      </c>
      <c r="R9" s="342">
        <f t="shared" si="7"/>
        <v>2</v>
      </c>
      <c r="S9" s="89">
        <f t="shared" si="8"/>
        <v>1.6528925619834711E-2</v>
      </c>
    </row>
    <row r="10" spans="1:19" s="324" customFormat="1" x14ac:dyDescent="0.45">
      <c r="A10" s="138" t="s">
        <v>12</v>
      </c>
      <c r="B10" s="103">
        <v>0</v>
      </c>
      <c r="C10" s="89" t="e">
        <f t="shared" si="5"/>
        <v>#DIV/0!</v>
      </c>
      <c r="D10" s="103">
        <v>0</v>
      </c>
      <c r="E10" s="89">
        <f t="shared" si="0"/>
        <v>0</v>
      </c>
      <c r="F10" s="103">
        <v>0</v>
      </c>
      <c r="G10" s="89">
        <f t="shared" si="1"/>
        <v>0</v>
      </c>
      <c r="H10" s="103">
        <v>0</v>
      </c>
      <c r="I10" s="89">
        <f t="shared" si="2"/>
        <v>0</v>
      </c>
      <c r="J10" s="103">
        <v>0</v>
      </c>
      <c r="K10" s="104">
        <f t="shared" si="3"/>
        <v>0</v>
      </c>
      <c r="L10" s="103">
        <f t="shared" si="6"/>
        <v>0</v>
      </c>
      <c r="M10" s="89">
        <f t="shared" si="4"/>
        <v>0</v>
      </c>
      <c r="N10" s="88">
        <v>0</v>
      </c>
      <c r="O10" s="89">
        <v>0</v>
      </c>
      <c r="P10" s="341">
        <v>0</v>
      </c>
      <c r="Q10" s="89">
        <v>0</v>
      </c>
      <c r="R10" s="342">
        <f t="shared" si="7"/>
        <v>0</v>
      </c>
      <c r="S10" s="89">
        <f t="shared" si="8"/>
        <v>0</v>
      </c>
    </row>
    <row r="11" spans="1:19" s="324" customFormat="1" x14ac:dyDescent="0.45">
      <c r="A11" s="138" t="s">
        <v>13</v>
      </c>
      <c r="B11" s="103">
        <v>0</v>
      </c>
      <c r="C11" s="89" t="e">
        <f t="shared" si="5"/>
        <v>#DIV/0!</v>
      </c>
      <c r="D11" s="103">
        <v>0</v>
      </c>
      <c r="E11" s="89">
        <f t="shared" si="0"/>
        <v>0</v>
      </c>
      <c r="F11" s="103">
        <v>2</v>
      </c>
      <c r="G11" s="89">
        <f t="shared" si="1"/>
        <v>3.5714285714285712E-2</v>
      </c>
      <c r="H11" s="103">
        <v>1</v>
      </c>
      <c r="I11" s="89">
        <f t="shared" si="2"/>
        <v>2.7777777777777776E-2</v>
      </c>
      <c r="J11" s="103">
        <v>1</v>
      </c>
      <c r="K11" s="104">
        <f t="shared" si="3"/>
        <v>8.3333333333333329E-2</v>
      </c>
      <c r="L11" s="103">
        <f t="shared" si="6"/>
        <v>4</v>
      </c>
      <c r="M11" s="89">
        <f t="shared" si="4"/>
        <v>3.3898305084745763E-2</v>
      </c>
      <c r="N11" s="88">
        <v>0</v>
      </c>
      <c r="O11" s="89">
        <v>0</v>
      </c>
      <c r="P11" s="341">
        <v>0</v>
      </c>
      <c r="Q11" s="89">
        <v>0</v>
      </c>
      <c r="R11" s="342">
        <f t="shared" si="7"/>
        <v>4</v>
      </c>
      <c r="S11" s="89">
        <f t="shared" si="8"/>
        <v>3.3057851239669422E-2</v>
      </c>
    </row>
    <row r="12" spans="1:19" s="324" customFormat="1" x14ac:dyDescent="0.45">
      <c r="A12" s="359" t="s">
        <v>53</v>
      </c>
      <c r="B12" s="103">
        <v>0</v>
      </c>
      <c r="C12" s="89" t="e">
        <f t="shared" si="5"/>
        <v>#DIV/0!</v>
      </c>
      <c r="D12" s="103">
        <v>0</v>
      </c>
      <c r="E12" s="89">
        <f t="shared" si="0"/>
        <v>0</v>
      </c>
      <c r="F12" s="103">
        <v>0</v>
      </c>
      <c r="G12" s="89">
        <f t="shared" si="1"/>
        <v>0</v>
      </c>
      <c r="H12" s="103">
        <v>0</v>
      </c>
      <c r="I12" s="89">
        <f t="shared" si="2"/>
        <v>0</v>
      </c>
      <c r="J12" s="103">
        <v>0</v>
      </c>
      <c r="K12" s="104">
        <f t="shared" si="3"/>
        <v>0</v>
      </c>
      <c r="L12" s="103">
        <f t="shared" si="6"/>
        <v>0</v>
      </c>
      <c r="M12" s="89">
        <f t="shared" si="4"/>
        <v>0</v>
      </c>
      <c r="N12" s="88">
        <v>0</v>
      </c>
      <c r="O12" s="89">
        <v>0</v>
      </c>
      <c r="P12" s="341">
        <v>0</v>
      </c>
      <c r="Q12" s="89">
        <v>0</v>
      </c>
      <c r="R12" s="342">
        <f t="shared" si="7"/>
        <v>0</v>
      </c>
      <c r="S12" s="89">
        <f t="shared" si="8"/>
        <v>0</v>
      </c>
    </row>
    <row r="13" spans="1:19" s="137" customFormat="1" x14ac:dyDescent="0.45">
      <c r="A13" s="360" t="s">
        <v>14</v>
      </c>
      <c r="B13" s="103">
        <v>0</v>
      </c>
      <c r="C13" s="89" t="e">
        <f t="shared" si="5"/>
        <v>#DIV/0!</v>
      </c>
      <c r="D13" s="103">
        <v>0</v>
      </c>
      <c r="E13" s="89">
        <f t="shared" si="0"/>
        <v>0</v>
      </c>
      <c r="F13" s="103">
        <v>1</v>
      </c>
      <c r="G13" s="89">
        <f t="shared" si="1"/>
        <v>1.7857142857142856E-2</v>
      </c>
      <c r="H13" s="103">
        <v>0</v>
      </c>
      <c r="I13" s="89">
        <f t="shared" si="2"/>
        <v>0</v>
      </c>
      <c r="J13" s="103">
        <v>0</v>
      </c>
      <c r="K13" s="104">
        <f t="shared" si="3"/>
        <v>0</v>
      </c>
      <c r="L13" s="103">
        <f>B13+D13+F13+H13+J13</f>
        <v>1</v>
      </c>
      <c r="M13" s="89">
        <f t="shared" si="4"/>
        <v>8.4745762711864406E-3</v>
      </c>
      <c r="N13" s="88">
        <v>0</v>
      </c>
      <c r="O13" s="89">
        <v>0</v>
      </c>
      <c r="P13" s="341">
        <v>0</v>
      </c>
      <c r="Q13" s="89">
        <v>0</v>
      </c>
      <c r="R13" s="342">
        <f t="shared" si="7"/>
        <v>1</v>
      </c>
      <c r="S13" s="89">
        <f t="shared" si="8"/>
        <v>8.2644628099173556E-3</v>
      </c>
    </row>
    <row r="14" spans="1:19" s="324" customFormat="1" x14ac:dyDescent="0.45">
      <c r="A14" s="359" t="s">
        <v>15</v>
      </c>
      <c r="B14" s="103">
        <v>0</v>
      </c>
      <c r="C14" s="89" t="e">
        <f t="shared" si="5"/>
        <v>#DIV/0!</v>
      </c>
      <c r="D14" s="103">
        <v>0</v>
      </c>
      <c r="E14" s="89">
        <f t="shared" si="0"/>
        <v>0</v>
      </c>
      <c r="F14" s="103">
        <v>1</v>
      </c>
      <c r="G14" s="89">
        <f t="shared" si="1"/>
        <v>1.7857142857142856E-2</v>
      </c>
      <c r="H14" s="103">
        <v>1</v>
      </c>
      <c r="I14" s="89">
        <f t="shared" si="2"/>
        <v>2.7777777777777776E-2</v>
      </c>
      <c r="J14" s="103">
        <v>0</v>
      </c>
      <c r="K14" s="104">
        <f t="shared" si="3"/>
        <v>0</v>
      </c>
      <c r="L14" s="103">
        <f t="shared" si="6"/>
        <v>2</v>
      </c>
      <c r="M14" s="89">
        <f t="shared" si="4"/>
        <v>1.6949152542372881E-2</v>
      </c>
      <c r="N14" s="88">
        <v>0</v>
      </c>
      <c r="O14" s="89">
        <v>0</v>
      </c>
      <c r="P14" s="341">
        <v>0</v>
      </c>
      <c r="Q14" s="89">
        <v>0</v>
      </c>
      <c r="R14" s="342">
        <f t="shared" si="7"/>
        <v>2</v>
      </c>
      <c r="S14" s="89">
        <f t="shared" si="8"/>
        <v>1.6528925619834711E-2</v>
      </c>
    </row>
    <row r="15" spans="1:19" s="324" customFormat="1" x14ac:dyDescent="0.45">
      <c r="A15" s="138" t="s">
        <v>16</v>
      </c>
      <c r="B15" s="103">
        <v>0</v>
      </c>
      <c r="C15" s="89" t="e">
        <f t="shared" si="5"/>
        <v>#DIV/0!</v>
      </c>
      <c r="D15" s="103">
        <v>1</v>
      </c>
      <c r="E15" s="89">
        <f t="shared" si="0"/>
        <v>7.1428571428571425E-2</v>
      </c>
      <c r="F15" s="103">
        <v>1</v>
      </c>
      <c r="G15" s="89">
        <f t="shared" si="1"/>
        <v>1.7857142857142856E-2</v>
      </c>
      <c r="H15" s="103">
        <v>0</v>
      </c>
      <c r="I15" s="89">
        <f t="shared" si="2"/>
        <v>0</v>
      </c>
      <c r="J15" s="103">
        <v>0</v>
      </c>
      <c r="K15" s="104">
        <f t="shared" si="3"/>
        <v>0</v>
      </c>
      <c r="L15" s="103">
        <f t="shared" si="6"/>
        <v>2</v>
      </c>
      <c r="M15" s="89">
        <f t="shared" si="4"/>
        <v>1.6949152542372881E-2</v>
      </c>
      <c r="N15" s="88">
        <v>0</v>
      </c>
      <c r="O15" s="89">
        <v>0</v>
      </c>
      <c r="P15" s="341">
        <v>0</v>
      </c>
      <c r="Q15" s="89">
        <v>0</v>
      </c>
      <c r="R15" s="342">
        <f t="shared" si="7"/>
        <v>2</v>
      </c>
      <c r="S15" s="89">
        <f t="shared" si="8"/>
        <v>1.6528925619834711E-2</v>
      </c>
    </row>
    <row r="16" spans="1:19" s="324" customFormat="1" x14ac:dyDescent="0.45">
      <c r="A16" s="138" t="s">
        <v>17</v>
      </c>
      <c r="B16" s="103">
        <v>0</v>
      </c>
      <c r="C16" s="89" t="e">
        <f t="shared" si="5"/>
        <v>#DIV/0!</v>
      </c>
      <c r="D16" s="103">
        <v>0</v>
      </c>
      <c r="E16" s="89">
        <f t="shared" si="0"/>
        <v>0</v>
      </c>
      <c r="F16" s="103">
        <v>1</v>
      </c>
      <c r="G16" s="89">
        <f t="shared" si="1"/>
        <v>1.7857142857142856E-2</v>
      </c>
      <c r="H16" s="103">
        <v>0</v>
      </c>
      <c r="I16" s="89">
        <f t="shared" si="2"/>
        <v>0</v>
      </c>
      <c r="J16" s="103">
        <v>0</v>
      </c>
      <c r="K16" s="104">
        <f t="shared" si="3"/>
        <v>0</v>
      </c>
      <c r="L16" s="103">
        <f t="shared" si="6"/>
        <v>1</v>
      </c>
      <c r="M16" s="89">
        <f t="shared" si="4"/>
        <v>8.4745762711864406E-3</v>
      </c>
      <c r="N16" s="88">
        <v>0</v>
      </c>
      <c r="O16" s="89">
        <v>0</v>
      </c>
      <c r="P16" s="341">
        <v>0</v>
      </c>
      <c r="Q16" s="89">
        <v>0</v>
      </c>
      <c r="R16" s="342">
        <f t="shared" si="7"/>
        <v>1</v>
      </c>
      <c r="S16" s="89">
        <f t="shared" si="8"/>
        <v>8.2644628099173556E-3</v>
      </c>
    </row>
    <row r="17" spans="1:19" s="324" customFormat="1" x14ac:dyDescent="0.45">
      <c r="A17" s="138" t="s">
        <v>109</v>
      </c>
      <c r="B17" s="103">
        <v>0</v>
      </c>
      <c r="C17" s="89" t="e">
        <f t="shared" si="5"/>
        <v>#DIV/0!</v>
      </c>
      <c r="D17" s="103">
        <v>0</v>
      </c>
      <c r="E17" s="89">
        <f t="shared" si="0"/>
        <v>0</v>
      </c>
      <c r="F17" s="103">
        <v>3</v>
      </c>
      <c r="G17" s="89">
        <f t="shared" si="1"/>
        <v>5.3571428571428568E-2</v>
      </c>
      <c r="H17" s="103">
        <v>0</v>
      </c>
      <c r="I17" s="89">
        <f t="shared" si="2"/>
        <v>0</v>
      </c>
      <c r="J17" s="103">
        <v>0</v>
      </c>
      <c r="K17" s="104">
        <f t="shared" si="3"/>
        <v>0</v>
      </c>
      <c r="L17" s="103">
        <f t="shared" si="6"/>
        <v>3</v>
      </c>
      <c r="M17" s="89">
        <f t="shared" si="4"/>
        <v>2.5423728813559324E-2</v>
      </c>
      <c r="N17" s="88">
        <v>0</v>
      </c>
      <c r="O17" s="89">
        <v>0</v>
      </c>
      <c r="P17" s="341">
        <v>0</v>
      </c>
      <c r="Q17" s="89">
        <v>0</v>
      </c>
      <c r="R17" s="342">
        <f t="shared" si="7"/>
        <v>3</v>
      </c>
      <c r="S17" s="89">
        <f t="shared" si="8"/>
        <v>2.4793388429752067E-2</v>
      </c>
    </row>
    <row r="18" spans="1:19" s="324" customFormat="1" x14ac:dyDescent="0.45">
      <c r="A18" s="138" t="s">
        <v>24</v>
      </c>
      <c r="B18" s="103">
        <v>0</v>
      </c>
      <c r="C18" s="89" t="e">
        <f t="shared" si="5"/>
        <v>#DIV/0!</v>
      </c>
      <c r="D18" s="103">
        <v>8</v>
      </c>
      <c r="E18" s="89">
        <f t="shared" si="0"/>
        <v>0.5714285714285714</v>
      </c>
      <c r="F18" s="103">
        <v>37</v>
      </c>
      <c r="G18" s="89">
        <f t="shared" si="1"/>
        <v>0.6607142857142857</v>
      </c>
      <c r="H18" s="103">
        <v>29</v>
      </c>
      <c r="I18" s="89">
        <f t="shared" si="2"/>
        <v>0.80555555555555558</v>
      </c>
      <c r="J18" s="103">
        <v>10</v>
      </c>
      <c r="K18" s="104">
        <f t="shared" si="3"/>
        <v>0.83333333333333337</v>
      </c>
      <c r="L18" s="103">
        <f t="shared" si="6"/>
        <v>84</v>
      </c>
      <c r="M18" s="89">
        <f t="shared" si="4"/>
        <v>0.71186440677966101</v>
      </c>
      <c r="N18" s="88">
        <v>3</v>
      </c>
      <c r="O18" s="89">
        <v>0</v>
      </c>
      <c r="P18" s="341">
        <v>0</v>
      </c>
      <c r="Q18" s="89">
        <v>0</v>
      </c>
      <c r="R18" s="342">
        <f t="shared" si="7"/>
        <v>87</v>
      </c>
      <c r="S18" s="89">
        <f t="shared" si="8"/>
        <v>0.71900826446280997</v>
      </c>
    </row>
    <row r="19" spans="1:19" s="324" customFormat="1" x14ac:dyDescent="0.45">
      <c r="A19" s="138" t="s">
        <v>18</v>
      </c>
      <c r="B19" s="103">
        <v>0</v>
      </c>
      <c r="C19" s="89" t="e">
        <f t="shared" si="5"/>
        <v>#DIV/0!</v>
      </c>
      <c r="D19" s="103">
        <v>0</v>
      </c>
      <c r="E19" s="89">
        <f t="shared" si="0"/>
        <v>0</v>
      </c>
      <c r="F19" s="103">
        <v>0</v>
      </c>
      <c r="G19" s="89">
        <f t="shared" si="1"/>
        <v>0</v>
      </c>
      <c r="H19" s="103">
        <v>1</v>
      </c>
      <c r="I19" s="89">
        <f t="shared" si="2"/>
        <v>2.7777777777777776E-2</v>
      </c>
      <c r="J19" s="103">
        <v>0</v>
      </c>
      <c r="K19" s="104">
        <f t="shared" si="3"/>
        <v>0</v>
      </c>
      <c r="L19" s="103">
        <f t="shared" si="6"/>
        <v>1</v>
      </c>
      <c r="M19" s="89">
        <f t="shared" si="4"/>
        <v>8.4745762711864406E-3</v>
      </c>
      <c r="N19" s="88">
        <v>0</v>
      </c>
      <c r="O19" s="89">
        <v>0</v>
      </c>
      <c r="P19" s="341">
        <v>0</v>
      </c>
      <c r="Q19" s="89">
        <v>0</v>
      </c>
      <c r="R19" s="342">
        <f t="shared" si="7"/>
        <v>1</v>
      </c>
      <c r="S19" s="89">
        <f t="shared" si="8"/>
        <v>8.2644628099173556E-3</v>
      </c>
    </row>
    <row r="20" spans="1:19" s="324" customFormat="1" x14ac:dyDescent="0.45">
      <c r="A20" s="361" t="s">
        <v>25</v>
      </c>
      <c r="B20" s="103">
        <v>0</v>
      </c>
      <c r="C20" s="89" t="e">
        <f t="shared" si="5"/>
        <v>#DIV/0!</v>
      </c>
      <c r="D20" s="103">
        <v>1</v>
      </c>
      <c r="E20" s="89">
        <f t="shared" si="0"/>
        <v>7.1428571428571425E-2</v>
      </c>
      <c r="F20" s="103">
        <v>0</v>
      </c>
      <c r="G20" s="89">
        <f t="shared" si="1"/>
        <v>0</v>
      </c>
      <c r="H20" s="103">
        <v>0</v>
      </c>
      <c r="I20" s="89">
        <f t="shared" si="2"/>
        <v>0</v>
      </c>
      <c r="J20" s="103">
        <v>0</v>
      </c>
      <c r="K20" s="104">
        <f t="shared" si="3"/>
        <v>0</v>
      </c>
      <c r="L20" s="103">
        <f t="shared" si="6"/>
        <v>1</v>
      </c>
      <c r="M20" s="89">
        <f t="shared" si="4"/>
        <v>8.4745762711864406E-3</v>
      </c>
      <c r="N20" s="88">
        <v>0</v>
      </c>
      <c r="O20" s="89">
        <v>0</v>
      </c>
      <c r="P20" s="341">
        <v>0</v>
      </c>
      <c r="Q20" s="89">
        <v>0</v>
      </c>
      <c r="R20" s="342">
        <f t="shared" si="7"/>
        <v>1</v>
      </c>
      <c r="S20" s="89">
        <f t="shared" si="8"/>
        <v>8.2644628099173556E-3</v>
      </c>
    </row>
    <row r="21" spans="1:19" s="324" customFormat="1" ht="14.65" thickBot="1" x14ac:dyDescent="0.5">
      <c r="A21" s="138" t="s">
        <v>30</v>
      </c>
      <c r="B21" s="103">
        <v>0</v>
      </c>
      <c r="C21" s="89" t="e">
        <f t="shared" si="5"/>
        <v>#DIV/0!</v>
      </c>
      <c r="D21" s="103">
        <v>2</v>
      </c>
      <c r="E21" s="89">
        <f t="shared" si="0"/>
        <v>0.14285714285714285</v>
      </c>
      <c r="F21" s="103">
        <v>4</v>
      </c>
      <c r="G21" s="89">
        <f t="shared" si="1"/>
        <v>7.1428571428571425E-2</v>
      </c>
      <c r="H21" s="103">
        <v>2</v>
      </c>
      <c r="I21" s="89">
        <f t="shared" si="2"/>
        <v>5.5555555555555552E-2</v>
      </c>
      <c r="J21" s="103">
        <v>0</v>
      </c>
      <c r="K21" s="104">
        <f t="shared" si="3"/>
        <v>0</v>
      </c>
      <c r="L21" s="103">
        <f t="shared" si="6"/>
        <v>8</v>
      </c>
      <c r="M21" s="89">
        <f t="shared" si="4"/>
        <v>6.7796610169491525E-2</v>
      </c>
      <c r="N21" s="88">
        <v>0</v>
      </c>
      <c r="O21" s="89">
        <v>0</v>
      </c>
      <c r="P21" s="341">
        <v>0</v>
      </c>
      <c r="Q21" s="89">
        <v>0</v>
      </c>
      <c r="R21" s="342">
        <f t="shared" si="7"/>
        <v>8</v>
      </c>
      <c r="S21" s="208">
        <f t="shared" si="8"/>
        <v>6.6115702479338845E-2</v>
      </c>
    </row>
    <row r="22" spans="1:19" s="324" customFormat="1" ht="14.65" thickBot="1" x14ac:dyDescent="0.5">
      <c r="A22" s="90" t="s">
        <v>2</v>
      </c>
      <c r="B22" s="91">
        <f t="shared" ref="B22:Q22" si="9">SUM(B5:B21)</f>
        <v>0</v>
      </c>
      <c r="C22" s="92" t="e">
        <f t="shared" si="9"/>
        <v>#DIV/0!</v>
      </c>
      <c r="D22" s="91">
        <f t="shared" si="9"/>
        <v>14</v>
      </c>
      <c r="E22" s="92">
        <f t="shared" si="9"/>
        <v>1</v>
      </c>
      <c r="F22" s="91">
        <f t="shared" si="9"/>
        <v>56</v>
      </c>
      <c r="G22" s="92">
        <f t="shared" si="9"/>
        <v>0.99999999999999989</v>
      </c>
      <c r="H22" s="91">
        <f t="shared" si="9"/>
        <v>36</v>
      </c>
      <c r="I22" s="92">
        <f t="shared" si="9"/>
        <v>1</v>
      </c>
      <c r="J22" s="91">
        <f t="shared" si="9"/>
        <v>12</v>
      </c>
      <c r="K22" s="92">
        <f t="shared" si="9"/>
        <v>1</v>
      </c>
      <c r="L22" s="91">
        <f t="shared" si="9"/>
        <v>118</v>
      </c>
      <c r="M22" s="92">
        <f t="shared" si="9"/>
        <v>1</v>
      </c>
      <c r="N22" s="91">
        <f t="shared" si="9"/>
        <v>3</v>
      </c>
      <c r="O22" s="92">
        <f t="shared" si="9"/>
        <v>0</v>
      </c>
      <c r="P22" s="343">
        <f>SUM(P5:P21)</f>
        <v>0</v>
      </c>
      <c r="Q22" s="344">
        <f t="shared" si="9"/>
        <v>0</v>
      </c>
      <c r="R22" s="345">
        <f>L22+N22+P22</f>
        <v>121</v>
      </c>
      <c r="S22" s="207">
        <f t="shared" si="8"/>
        <v>1</v>
      </c>
    </row>
    <row r="23" spans="1:19" s="324" customFormat="1" x14ac:dyDescent="0.45"/>
    <row r="24" spans="1:19" s="324" customFormat="1" x14ac:dyDescent="0.45">
      <c r="A24" s="93" t="s">
        <v>151</v>
      </c>
    </row>
  </sheetData>
  <mergeCells count="7">
    <mergeCell ref="P3:Q3"/>
    <mergeCell ref="A1:D1"/>
    <mergeCell ref="J3:K3"/>
    <mergeCell ref="H3:I3"/>
    <mergeCell ref="F3:G3"/>
    <mergeCell ref="D3:E3"/>
    <mergeCell ref="N3:O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N47"/>
  <sheetViews>
    <sheetView workbookViewId="0"/>
  </sheetViews>
  <sheetFormatPr defaultColWidth="9.1328125" defaultRowHeight="14.25" x14ac:dyDescent="0.45"/>
  <cols>
    <col min="1" max="1" width="31.1328125" style="20" customWidth="1"/>
    <col min="2" max="3" width="9.1328125" style="20"/>
    <col min="4" max="4" width="11.59765625" style="20" customWidth="1"/>
    <col min="5" max="5" width="9.59765625" style="20" bestFit="1" customWidth="1"/>
    <col min="6" max="6" width="1.86328125" style="20" customWidth="1"/>
    <col min="7" max="7" width="31.59765625" style="20" bestFit="1" customWidth="1"/>
    <col min="8" max="9" width="9.1328125" style="20"/>
    <col min="10" max="10" width="11.1328125" style="20" customWidth="1"/>
    <col min="11" max="11" width="9.1328125" style="20"/>
    <col min="12" max="12" width="28.59765625" style="20" customWidth="1"/>
    <col min="13" max="13" width="13.59765625" style="20" customWidth="1"/>
    <col min="14" max="14" width="16.3984375" style="20" customWidth="1"/>
    <col min="15" max="16384" width="9.1328125" style="20"/>
  </cols>
  <sheetData>
    <row r="1" spans="1:14" x14ac:dyDescent="0.45">
      <c r="A1" s="26" t="s">
        <v>69</v>
      </c>
      <c r="G1" s="26" t="s">
        <v>70</v>
      </c>
      <c r="L1" s="451" t="s">
        <v>124</v>
      </c>
      <c r="M1" s="451"/>
      <c r="N1" s="451"/>
    </row>
    <row r="3" spans="1:14" ht="42.75" x14ac:dyDescent="0.45">
      <c r="A3" s="147" t="s">
        <v>71</v>
      </c>
      <c r="B3" s="279" t="s">
        <v>72</v>
      </c>
      <c r="C3" s="279" t="s">
        <v>73</v>
      </c>
      <c r="D3" s="148" t="s">
        <v>74</v>
      </c>
      <c r="G3" s="147" t="s">
        <v>71</v>
      </c>
      <c r="H3" s="279" t="s">
        <v>75</v>
      </c>
      <c r="I3" s="279" t="s">
        <v>76</v>
      </c>
      <c r="J3" s="148" t="s">
        <v>74</v>
      </c>
      <c r="L3" s="147" t="s">
        <v>71</v>
      </c>
      <c r="M3" s="279" t="s">
        <v>102</v>
      </c>
    </row>
    <row r="4" spans="1:14" x14ac:dyDescent="0.45">
      <c r="A4" s="282" t="s">
        <v>77</v>
      </c>
      <c r="B4" s="209">
        <v>55</v>
      </c>
      <c r="C4" s="209">
        <v>378</v>
      </c>
      <c r="D4" s="283">
        <f>(100/433)*B4</f>
        <v>12.702078521939953</v>
      </c>
      <c r="G4" s="282" t="s">
        <v>77</v>
      </c>
      <c r="H4" s="209">
        <v>51</v>
      </c>
      <c r="I4" s="209">
        <v>384</v>
      </c>
      <c r="J4" s="283">
        <f>(100/433)*H4</f>
        <v>11.778290993071593</v>
      </c>
      <c r="L4" s="282" t="s">
        <v>77</v>
      </c>
      <c r="M4" s="209">
        <v>9</v>
      </c>
    </row>
    <row r="5" spans="1:14" x14ac:dyDescent="0.45">
      <c r="A5" s="282" t="s">
        <v>78</v>
      </c>
      <c r="B5" s="209">
        <v>47</v>
      </c>
      <c r="C5" s="209">
        <v>368</v>
      </c>
      <c r="D5" s="283">
        <f>(100/415)*B5</f>
        <v>11.325301204819278</v>
      </c>
      <c r="G5" s="282" t="s">
        <v>78</v>
      </c>
      <c r="H5" s="209">
        <v>50</v>
      </c>
      <c r="I5" s="209">
        <v>365</v>
      </c>
      <c r="J5" s="283">
        <f>(100/415)*H5</f>
        <v>12.048192771084338</v>
      </c>
      <c r="L5" s="282" t="s">
        <v>78</v>
      </c>
      <c r="M5" s="209">
        <v>8</v>
      </c>
    </row>
    <row r="6" spans="1:14" x14ac:dyDescent="0.45">
      <c r="A6" s="282" t="s">
        <v>79</v>
      </c>
      <c r="B6" s="209">
        <v>43</v>
      </c>
      <c r="C6" s="209">
        <v>335</v>
      </c>
      <c r="D6" s="283">
        <f>(100/378)*B6</f>
        <v>11.375661375661375</v>
      </c>
      <c r="G6" s="282" t="s">
        <v>79</v>
      </c>
      <c r="H6" s="209">
        <v>38</v>
      </c>
      <c r="I6" s="209">
        <v>340</v>
      </c>
      <c r="J6" s="283">
        <f>(100/378)*H6</f>
        <v>10.052910052910052</v>
      </c>
      <c r="L6" s="282" t="s">
        <v>79</v>
      </c>
      <c r="M6" s="209">
        <v>4</v>
      </c>
    </row>
    <row r="7" spans="1:14" x14ac:dyDescent="0.45">
      <c r="A7" s="284" t="s">
        <v>80</v>
      </c>
      <c r="B7" s="209">
        <v>46</v>
      </c>
      <c r="C7" s="209">
        <v>320</v>
      </c>
      <c r="D7" s="283">
        <f>(100/366)*B7</f>
        <v>12.568306010928962</v>
      </c>
      <c r="G7" s="284" t="s">
        <v>80</v>
      </c>
      <c r="H7" s="209">
        <v>40</v>
      </c>
      <c r="I7" s="209">
        <v>326</v>
      </c>
      <c r="J7" s="283">
        <f>(100/366)*H7</f>
        <v>10.928961748633881</v>
      </c>
      <c r="L7" s="284" t="s">
        <v>80</v>
      </c>
      <c r="M7" s="209">
        <v>4</v>
      </c>
    </row>
    <row r="8" spans="1:14" x14ac:dyDescent="0.45">
      <c r="A8" s="284" t="s">
        <v>81</v>
      </c>
      <c r="B8" s="209">
        <v>31</v>
      </c>
      <c r="C8" s="209">
        <f>'[1]No ex-police staff'!C34+'[1]No ex-police staff'!C33</f>
        <v>349</v>
      </c>
      <c r="D8" s="283">
        <f>(100/366)*B8</f>
        <v>8.4699453551912569</v>
      </c>
      <c r="E8" s="285"/>
      <c r="G8" s="284" t="s">
        <v>81</v>
      </c>
      <c r="H8" s="209">
        <v>25</v>
      </c>
      <c r="I8" s="209">
        <f>'[1]No ex-police staff'!C34+'[1]No ex-police staff'!C32</f>
        <v>355</v>
      </c>
      <c r="J8" s="283">
        <f>(100/366)*H8</f>
        <v>6.8306010928961758</v>
      </c>
      <c r="L8" s="284" t="s">
        <v>81</v>
      </c>
      <c r="M8" s="209">
        <v>3</v>
      </c>
    </row>
    <row r="9" spans="1:14" x14ac:dyDescent="0.45">
      <c r="A9" s="284" t="s">
        <v>82</v>
      </c>
      <c r="B9" s="209">
        <v>80</v>
      </c>
      <c r="C9" s="209">
        <v>480</v>
      </c>
      <c r="D9" s="283">
        <f>(100/560)*B9</f>
        <v>14.285714285714286</v>
      </c>
      <c r="G9" s="284" t="s">
        <v>82</v>
      </c>
      <c r="H9" s="209">
        <v>71</v>
      </c>
      <c r="I9" s="209">
        <v>489</v>
      </c>
      <c r="J9" s="283">
        <f>(100/560)*H9</f>
        <v>12.678571428571429</v>
      </c>
      <c r="L9" s="284" t="s">
        <v>82</v>
      </c>
      <c r="M9" s="209">
        <v>10</v>
      </c>
    </row>
    <row r="10" spans="1:14" x14ac:dyDescent="0.45">
      <c r="A10" s="284" t="s">
        <v>83</v>
      </c>
      <c r="B10" s="209">
        <v>98</v>
      </c>
      <c r="C10" s="209">
        <v>568</v>
      </c>
      <c r="D10" s="283">
        <f>(100/666)*B10</f>
        <v>14.714714714714715</v>
      </c>
      <c r="G10" s="284" t="s">
        <v>83</v>
      </c>
      <c r="H10" s="209">
        <v>90</v>
      </c>
      <c r="I10" s="209">
        <v>576</v>
      </c>
      <c r="J10" s="283">
        <f>(100/666)*H10</f>
        <v>13.513513513513514</v>
      </c>
      <c r="L10" s="284" t="s">
        <v>83</v>
      </c>
      <c r="M10" s="209">
        <v>13</v>
      </c>
    </row>
    <row r="11" spans="1:14" x14ac:dyDescent="0.45">
      <c r="A11" s="284" t="s">
        <v>84</v>
      </c>
      <c r="B11" s="209">
        <v>107</v>
      </c>
      <c r="C11" s="209">
        <v>697</v>
      </c>
      <c r="D11" s="283">
        <f>(100/804)*B11</f>
        <v>13.308457711442786</v>
      </c>
      <c r="G11" s="284" t="s">
        <v>84</v>
      </c>
      <c r="H11" s="209">
        <v>102</v>
      </c>
      <c r="I11" s="209">
        <v>702</v>
      </c>
      <c r="J11" s="283">
        <f>(100/804)*H11</f>
        <v>12.686567164179104</v>
      </c>
      <c r="L11" s="284" t="s">
        <v>84</v>
      </c>
      <c r="M11" s="209">
        <v>15</v>
      </c>
    </row>
    <row r="12" spans="1:14" x14ac:dyDescent="0.45">
      <c r="A12" s="284" t="s">
        <v>85</v>
      </c>
      <c r="B12" s="209">
        <v>115</v>
      </c>
      <c r="C12" s="209">
        <v>740</v>
      </c>
      <c r="D12" s="283">
        <f>(100/855)*B12</f>
        <v>13.450292397660817</v>
      </c>
      <c r="G12" s="284" t="s">
        <v>85</v>
      </c>
      <c r="H12" s="209">
        <v>105</v>
      </c>
      <c r="I12" s="209">
        <v>750</v>
      </c>
      <c r="J12" s="283">
        <f>(100/855)*H12</f>
        <v>12.280701754385964</v>
      </c>
      <c r="L12" s="284" t="s">
        <v>85</v>
      </c>
      <c r="M12" s="209">
        <v>18</v>
      </c>
    </row>
    <row r="13" spans="1:14" x14ac:dyDescent="0.45">
      <c r="A13" s="282" t="s">
        <v>92</v>
      </c>
      <c r="B13" s="209">
        <v>102</v>
      </c>
      <c r="C13" s="209">
        <v>782</v>
      </c>
      <c r="D13" s="283">
        <f>(100/855)*B13</f>
        <v>11.929824561403509</v>
      </c>
      <c r="G13" s="282" t="s">
        <v>92</v>
      </c>
      <c r="H13" s="209">
        <v>88</v>
      </c>
      <c r="I13" s="209">
        <v>796</v>
      </c>
      <c r="J13" s="283">
        <f>(100/855)*H13</f>
        <v>10.292397660818713</v>
      </c>
      <c r="L13" s="282" t="s">
        <v>92</v>
      </c>
      <c r="M13" s="209">
        <v>18</v>
      </c>
    </row>
    <row r="14" spans="1:14" x14ac:dyDescent="0.45">
      <c r="A14" s="282" t="s">
        <v>99</v>
      </c>
      <c r="B14" s="209">
        <v>96</v>
      </c>
      <c r="C14" s="209">
        <v>781</v>
      </c>
      <c r="D14" s="283">
        <f>(100/877)*B14</f>
        <v>10.946408209806158</v>
      </c>
      <c r="G14" s="282" t="s">
        <v>99</v>
      </c>
      <c r="H14" s="209">
        <v>86</v>
      </c>
      <c r="I14" s="209">
        <v>791</v>
      </c>
      <c r="J14" s="283">
        <f>(100/877)*H14</f>
        <v>9.8061573546180156</v>
      </c>
      <c r="L14" s="282" t="s">
        <v>99</v>
      </c>
      <c r="M14" s="209">
        <v>18</v>
      </c>
    </row>
    <row r="15" spans="1:14" x14ac:dyDescent="0.45">
      <c r="A15" s="284" t="s">
        <v>101</v>
      </c>
      <c r="B15" s="210">
        <v>96</v>
      </c>
      <c r="C15" s="210">
        <v>809</v>
      </c>
      <c r="D15" s="286">
        <f>(100/925)*B15</f>
        <v>10.378378378378379</v>
      </c>
      <c r="E15" s="242"/>
      <c r="F15" s="242"/>
      <c r="G15" s="284" t="s">
        <v>101</v>
      </c>
      <c r="H15" s="210">
        <v>90</v>
      </c>
      <c r="I15" s="210">
        <v>815</v>
      </c>
      <c r="J15" s="286">
        <f>(100/925)*H15</f>
        <v>9.7297297297297298</v>
      </c>
      <c r="L15" s="284" t="s">
        <v>101</v>
      </c>
      <c r="M15" s="210">
        <v>20</v>
      </c>
    </row>
    <row r="16" spans="1:14" x14ac:dyDescent="0.45">
      <c r="A16" s="284" t="s">
        <v>104</v>
      </c>
      <c r="B16" s="213">
        <v>92</v>
      </c>
      <c r="C16" s="210">
        <f>929-B16-M16</f>
        <v>816</v>
      </c>
      <c r="D16" s="286">
        <f>(100/929)*B16</f>
        <v>9.9031216361679224</v>
      </c>
      <c r="E16" s="242"/>
      <c r="F16" s="242"/>
      <c r="G16" s="284" t="s">
        <v>104</v>
      </c>
      <c r="H16" s="213">
        <v>88</v>
      </c>
      <c r="I16" s="210">
        <f>929-H16-M16</f>
        <v>820</v>
      </c>
      <c r="J16" s="286">
        <f>(100/929)*H16</f>
        <v>9.4725511302475773</v>
      </c>
      <c r="L16" s="284" t="s">
        <v>104</v>
      </c>
      <c r="M16" s="213">
        <v>21</v>
      </c>
    </row>
    <row r="17" spans="1:13" x14ac:dyDescent="0.45">
      <c r="A17" s="284" t="s">
        <v>107</v>
      </c>
      <c r="B17" s="213">
        <v>98</v>
      </c>
      <c r="C17" s="210">
        <f>953-B17-M17</f>
        <v>834</v>
      </c>
      <c r="D17" s="286">
        <f>(100/953)*B17</f>
        <v>10.283315844700944</v>
      </c>
      <c r="E17" s="242"/>
      <c r="F17" s="242"/>
      <c r="G17" s="284" t="s">
        <v>107</v>
      </c>
      <c r="H17" s="213">
        <v>91</v>
      </c>
      <c r="I17" s="210">
        <f>953-H17-M17</f>
        <v>841</v>
      </c>
      <c r="J17" s="286">
        <f>(100/953)*H17</f>
        <v>9.5487932843651624</v>
      </c>
      <c r="L17" s="284" t="s">
        <v>107</v>
      </c>
      <c r="M17" s="213">
        <v>21</v>
      </c>
    </row>
    <row r="18" spans="1:13" x14ac:dyDescent="0.45">
      <c r="A18" s="284" t="s">
        <v>110</v>
      </c>
      <c r="B18" s="213">
        <v>115</v>
      </c>
      <c r="C18" s="210">
        <f>953-B18-M18</f>
        <v>819</v>
      </c>
      <c r="D18" s="286">
        <f>(100/953)*B18</f>
        <v>12.067156348373556</v>
      </c>
      <c r="E18" s="242"/>
      <c r="F18" s="242"/>
      <c r="G18" s="284" t="s">
        <v>110</v>
      </c>
      <c r="H18" s="213">
        <v>92</v>
      </c>
      <c r="I18" s="210">
        <f>953-H18-M18</f>
        <v>842</v>
      </c>
      <c r="J18" s="286">
        <f>(100/953)*H18</f>
        <v>9.6537250786988462</v>
      </c>
      <c r="L18" s="284" t="s">
        <v>110</v>
      </c>
      <c r="M18" s="213">
        <v>19</v>
      </c>
    </row>
    <row r="19" spans="1:13" x14ac:dyDescent="0.45">
      <c r="A19" s="284" t="s">
        <v>121</v>
      </c>
      <c r="B19" s="213">
        <v>118</v>
      </c>
      <c r="C19" s="210">
        <v>849</v>
      </c>
      <c r="D19" s="290">
        <f>(100/983)*B19</f>
        <v>12.004069175991862</v>
      </c>
      <c r="E19" s="242"/>
      <c r="F19" s="242"/>
      <c r="G19" s="284" t="s">
        <v>121</v>
      </c>
      <c r="H19" s="213">
        <v>92</v>
      </c>
      <c r="I19" s="210">
        <v>875</v>
      </c>
      <c r="J19" s="290">
        <f>(100/983)*H19</f>
        <v>9.3591047812817916</v>
      </c>
      <c r="L19" s="284" t="s">
        <v>121</v>
      </c>
      <c r="M19" s="213">
        <v>16</v>
      </c>
    </row>
    <row r="20" spans="1:13" x14ac:dyDescent="0.45">
      <c r="A20" s="284" t="s">
        <v>123</v>
      </c>
      <c r="B20" s="213">
        <v>125</v>
      </c>
      <c r="C20" s="210">
        <v>887</v>
      </c>
      <c r="D20" s="286">
        <f>(100/1032)*B20</f>
        <v>12.112403100775195</v>
      </c>
      <c r="E20" s="242"/>
      <c r="F20" s="242"/>
      <c r="G20" s="284" t="s">
        <v>123</v>
      </c>
      <c r="H20" s="213">
        <v>94</v>
      </c>
      <c r="I20" s="210">
        <v>918</v>
      </c>
      <c r="J20" s="286">
        <f>(100/1032)*H20</f>
        <v>9.1085271317829459</v>
      </c>
      <c r="L20" s="284" t="s">
        <v>123</v>
      </c>
      <c r="M20" s="213">
        <v>19</v>
      </c>
    </row>
    <row r="21" spans="1:13" x14ac:dyDescent="0.45">
      <c r="A21" s="284" t="s">
        <v>135</v>
      </c>
      <c r="B21" s="213">
        <v>130</v>
      </c>
      <c r="C21" s="210">
        <v>881</v>
      </c>
      <c r="D21" s="286">
        <f>(100/1028)*B21</f>
        <v>12.645914396887159</v>
      </c>
      <c r="E21" s="242"/>
      <c r="F21" s="242"/>
      <c r="G21" s="284" t="s">
        <v>135</v>
      </c>
      <c r="H21" s="213">
        <v>94</v>
      </c>
      <c r="I21" s="210">
        <v>916</v>
      </c>
      <c r="J21" s="286">
        <f>(100/1028)*H21</f>
        <v>9.1439688715953302</v>
      </c>
      <c r="L21" s="284" t="s">
        <v>135</v>
      </c>
      <c r="M21" s="213">
        <v>19</v>
      </c>
    </row>
    <row r="22" spans="1:13" x14ac:dyDescent="0.45">
      <c r="A22" s="284" t="s">
        <v>142</v>
      </c>
      <c r="B22" s="213">
        <v>131</v>
      </c>
      <c r="C22" s="210">
        <v>890</v>
      </c>
      <c r="D22" s="286">
        <f>(100/1044)*B22</f>
        <v>12.547892720306514</v>
      </c>
      <c r="E22" s="242"/>
      <c r="F22" s="242"/>
      <c r="G22" s="284" t="s">
        <v>142</v>
      </c>
      <c r="H22" s="213">
        <v>96</v>
      </c>
      <c r="I22" s="210">
        <v>925</v>
      </c>
      <c r="J22" s="286">
        <f>(100/1044)*H22</f>
        <v>9.1954022988505741</v>
      </c>
      <c r="L22" s="284" t="s">
        <v>142</v>
      </c>
      <c r="M22" s="213">
        <v>23</v>
      </c>
    </row>
    <row r="23" spans="1:13" x14ac:dyDescent="0.45">
      <c r="A23" s="284" t="s">
        <v>154</v>
      </c>
      <c r="B23" s="213">
        <v>120</v>
      </c>
      <c r="C23" s="210">
        <v>866</v>
      </c>
      <c r="D23" s="286">
        <f>(100/1011)*B23</f>
        <v>11.869436201780417</v>
      </c>
      <c r="E23" s="242"/>
      <c r="F23" s="242"/>
      <c r="G23" s="284" t="s">
        <v>154</v>
      </c>
      <c r="H23" s="213">
        <v>94</v>
      </c>
      <c r="I23" s="210">
        <v>892</v>
      </c>
      <c r="J23" s="286">
        <f>(100/1011)*H23</f>
        <v>9.2977250247279919</v>
      </c>
      <c r="L23" s="284" t="s">
        <v>154</v>
      </c>
      <c r="M23" s="213">
        <v>23</v>
      </c>
    </row>
    <row r="24" spans="1:13" x14ac:dyDescent="0.45">
      <c r="A24" s="284" t="s">
        <v>155</v>
      </c>
      <c r="B24" s="213">
        <v>119</v>
      </c>
      <c r="C24" s="210">
        <v>859</v>
      </c>
      <c r="D24" s="286">
        <f>(100/1001)*B24</f>
        <v>11.888111888111888</v>
      </c>
      <c r="E24" s="242"/>
      <c r="F24" s="242"/>
      <c r="G24" s="284" t="s">
        <v>155</v>
      </c>
      <c r="H24" s="213">
        <v>94</v>
      </c>
      <c r="I24" s="210">
        <v>884</v>
      </c>
      <c r="J24" s="286">
        <f>(100/1001)*H24</f>
        <v>9.3906093906093915</v>
      </c>
      <c r="L24" s="284" t="s">
        <v>155</v>
      </c>
      <c r="M24" s="213">
        <v>23</v>
      </c>
    </row>
    <row r="25" spans="1:13" x14ac:dyDescent="0.45">
      <c r="A25" s="284" t="s">
        <v>157</v>
      </c>
      <c r="B25" s="213">
        <v>120</v>
      </c>
      <c r="C25" s="210">
        <v>874</v>
      </c>
      <c r="D25" s="286">
        <f>(100/1018)*B25</f>
        <v>11.787819253438114</v>
      </c>
      <c r="E25" s="242"/>
      <c r="F25" s="242"/>
      <c r="G25" s="284" t="s">
        <v>157</v>
      </c>
      <c r="H25" s="213">
        <v>97</v>
      </c>
      <c r="I25" s="210">
        <v>897</v>
      </c>
      <c r="J25" s="286">
        <f>(100/1018)*H25</f>
        <v>9.5284872298624741</v>
      </c>
      <c r="L25" s="284" t="s">
        <v>157</v>
      </c>
      <c r="M25" s="213">
        <v>24</v>
      </c>
    </row>
    <row r="26" spans="1:13" x14ac:dyDescent="0.45">
      <c r="A26" s="284" t="s">
        <v>159</v>
      </c>
      <c r="B26" s="213">
        <v>124</v>
      </c>
      <c r="C26" s="210">
        <v>883</v>
      </c>
      <c r="D26" s="286">
        <f>(100/1030)*B26</f>
        <v>12.038834951456311</v>
      </c>
      <c r="E26" s="242"/>
      <c r="F26" s="242"/>
      <c r="G26" s="284" t="s">
        <v>159</v>
      </c>
      <c r="H26" s="213">
        <v>98</v>
      </c>
      <c r="I26" s="210">
        <v>909</v>
      </c>
      <c r="J26" s="286">
        <f>(100/1030)*H26</f>
        <v>9.5145631067961158</v>
      </c>
      <c r="L26" s="284" t="s">
        <v>159</v>
      </c>
      <c r="M26" s="213">
        <v>23</v>
      </c>
    </row>
    <row r="27" spans="1:13" x14ac:dyDescent="0.45">
      <c r="A27" s="284" t="s">
        <v>160</v>
      </c>
      <c r="B27" s="213">
        <v>119</v>
      </c>
      <c r="C27" s="210">
        <v>866</v>
      </c>
      <c r="D27" s="286">
        <f>(100/1009)*B27</f>
        <v>11.793855302279484</v>
      </c>
      <c r="G27" s="284" t="s">
        <v>160</v>
      </c>
      <c r="H27" s="213">
        <v>92</v>
      </c>
      <c r="I27" s="210">
        <v>891</v>
      </c>
      <c r="J27" s="286">
        <f>(100/1009)*H27</f>
        <v>9.1179385530227943</v>
      </c>
      <c r="L27" s="284" t="s">
        <v>160</v>
      </c>
      <c r="M27" s="213">
        <v>22</v>
      </c>
    </row>
    <row r="28" spans="1:13" x14ac:dyDescent="0.45">
      <c r="A28" s="284" t="s">
        <v>161</v>
      </c>
      <c r="B28" s="213">
        <v>118</v>
      </c>
      <c r="C28" s="210">
        <v>879</v>
      </c>
      <c r="D28" s="286">
        <f>(100/1019)*B28</f>
        <v>11.579980372914623</v>
      </c>
      <c r="G28" s="284" t="s">
        <v>161</v>
      </c>
      <c r="H28" s="213">
        <v>92</v>
      </c>
      <c r="I28" s="210">
        <v>905</v>
      </c>
      <c r="J28" s="286">
        <f>(100/1019)*H28</f>
        <v>9.0284592737978411</v>
      </c>
      <c r="L28" s="284" t="s">
        <v>161</v>
      </c>
      <c r="M28" s="213">
        <v>22</v>
      </c>
    </row>
    <row r="29" spans="1:13" x14ac:dyDescent="0.45">
      <c r="A29" s="284" t="s">
        <v>162</v>
      </c>
      <c r="B29" s="213">
        <v>119</v>
      </c>
      <c r="C29" s="210">
        <v>879</v>
      </c>
      <c r="D29" s="286">
        <f>(100/1027)*B29</f>
        <v>11.587147030185005</v>
      </c>
      <c r="G29" s="284" t="s">
        <v>162</v>
      </c>
      <c r="H29" s="213">
        <v>92</v>
      </c>
      <c r="I29" s="210">
        <v>905</v>
      </c>
      <c r="J29" s="286">
        <f>(100/1027)*H29</f>
        <v>8.9581304771178196</v>
      </c>
      <c r="L29" s="284" t="s">
        <v>162</v>
      </c>
      <c r="M29" s="213">
        <v>23</v>
      </c>
    </row>
    <row r="30" spans="1:13" x14ac:dyDescent="0.45">
      <c r="A30" s="284" t="s">
        <v>163</v>
      </c>
      <c r="B30" s="213">
        <v>119</v>
      </c>
      <c r="C30" s="210">
        <v>890</v>
      </c>
      <c r="D30" s="286">
        <f>(100/1032)*B30</f>
        <v>11.531007751937985</v>
      </c>
      <c r="G30" s="284" t="s">
        <v>163</v>
      </c>
      <c r="H30" s="213">
        <v>92</v>
      </c>
      <c r="I30" s="210">
        <v>917</v>
      </c>
      <c r="J30" s="286">
        <f>(100/1032)*H30</f>
        <v>8.9147286821705425</v>
      </c>
      <c r="L30" s="284" t="s">
        <v>163</v>
      </c>
      <c r="M30" s="213">
        <v>24</v>
      </c>
    </row>
    <row r="31" spans="1:13" x14ac:dyDescent="0.45">
      <c r="A31" s="284" t="s">
        <v>164</v>
      </c>
      <c r="B31" s="213">
        <v>114</v>
      </c>
      <c r="C31" s="210">
        <v>894</v>
      </c>
      <c r="D31" s="286">
        <f>(100/1031)*B31</f>
        <v>11.057225994180406</v>
      </c>
      <c r="G31" s="284" t="s">
        <v>164</v>
      </c>
      <c r="H31" s="213">
        <v>95</v>
      </c>
      <c r="I31" s="210">
        <v>913</v>
      </c>
      <c r="J31" s="286">
        <f>(100/1031)*H31</f>
        <v>9.2143549951503392</v>
      </c>
      <c r="L31" s="284" t="s">
        <v>164</v>
      </c>
      <c r="M31" s="213">
        <v>23</v>
      </c>
    </row>
    <row r="32" spans="1:13" x14ac:dyDescent="0.45">
      <c r="A32" s="284" t="s">
        <v>166</v>
      </c>
      <c r="B32" s="213">
        <v>113</v>
      </c>
      <c r="C32" s="210">
        <v>903</v>
      </c>
      <c r="D32" s="286">
        <f>(100/1038)*B32</f>
        <v>10.886319845857418</v>
      </c>
      <c r="G32" s="284" t="s">
        <v>166</v>
      </c>
      <c r="H32" s="213">
        <v>96</v>
      </c>
      <c r="I32" s="210">
        <v>920</v>
      </c>
      <c r="J32" s="286">
        <f>(100/1038)*H32</f>
        <v>9.2485549132947984</v>
      </c>
      <c r="L32" s="284" t="s">
        <v>166</v>
      </c>
      <c r="M32" s="213">
        <v>22</v>
      </c>
    </row>
    <row r="33" spans="1:13" x14ac:dyDescent="0.45">
      <c r="A33" s="284" t="s">
        <v>167</v>
      </c>
      <c r="B33" s="213">
        <v>112</v>
      </c>
      <c r="C33" s="210">
        <v>894</v>
      </c>
      <c r="D33" s="286">
        <f>(100/1027)*B33</f>
        <v>10.905550146056475</v>
      </c>
      <c r="G33" s="284" t="s">
        <v>167</v>
      </c>
      <c r="H33" s="213">
        <v>96</v>
      </c>
      <c r="I33" s="210">
        <v>910</v>
      </c>
      <c r="J33" s="286">
        <f>(100/1027)*H33</f>
        <v>9.3476144109055497</v>
      </c>
      <c r="L33" s="284" t="s">
        <v>167</v>
      </c>
      <c r="M33" s="213">
        <v>21</v>
      </c>
    </row>
    <row r="34" spans="1:13" x14ac:dyDescent="0.45">
      <c r="A34" s="284" t="s">
        <v>169</v>
      </c>
      <c r="B34" s="213">
        <v>108</v>
      </c>
      <c r="C34" s="210">
        <v>884</v>
      </c>
      <c r="D34" s="286">
        <f>(100/1013)*B34</f>
        <v>10.661401776900297</v>
      </c>
      <c r="G34" s="284" t="s">
        <v>169</v>
      </c>
      <c r="H34" s="213">
        <v>96</v>
      </c>
      <c r="I34" s="210">
        <v>896</v>
      </c>
      <c r="J34" s="286">
        <f>(100/1013)*H34</f>
        <v>9.4768015794669296</v>
      </c>
      <c r="L34" s="284" t="s">
        <v>169</v>
      </c>
      <c r="M34" s="213">
        <v>21</v>
      </c>
    </row>
    <row r="35" spans="1:13" x14ac:dyDescent="0.45">
      <c r="A35" s="284" t="s">
        <v>184</v>
      </c>
      <c r="B35" s="213">
        <v>104</v>
      </c>
      <c r="C35" s="210">
        <v>869</v>
      </c>
      <c r="D35" s="286">
        <f>(100/992)*B35</f>
        <v>10.483870967741934</v>
      </c>
      <c r="G35" s="284" t="s">
        <v>184</v>
      </c>
      <c r="H35" s="213">
        <v>94</v>
      </c>
      <c r="I35" s="210">
        <v>879</v>
      </c>
      <c r="J35" s="286">
        <f>(100/992)*H35</f>
        <v>9.4758064516129021</v>
      </c>
      <c r="L35" s="284" t="s">
        <v>184</v>
      </c>
      <c r="M35" s="213">
        <v>19</v>
      </c>
    </row>
    <row r="36" spans="1:13" x14ac:dyDescent="0.45">
      <c r="A36" s="284" t="s">
        <v>186</v>
      </c>
      <c r="B36" s="213">
        <v>102</v>
      </c>
      <c r="C36" s="210">
        <v>876</v>
      </c>
      <c r="D36" s="286">
        <f>(100/997)*B36</f>
        <v>10.230692076228687</v>
      </c>
      <c r="G36" s="284" t="s">
        <v>186</v>
      </c>
      <c r="H36" s="213">
        <v>96</v>
      </c>
      <c r="I36" s="210">
        <v>882</v>
      </c>
      <c r="J36" s="286">
        <f>(100/997)*H36</f>
        <v>9.6288866599799405</v>
      </c>
      <c r="L36" s="284" t="s">
        <v>186</v>
      </c>
      <c r="M36" s="213">
        <v>19</v>
      </c>
    </row>
    <row r="37" spans="1:13" x14ac:dyDescent="0.45">
      <c r="A37" s="284" t="s">
        <v>191</v>
      </c>
      <c r="B37" s="213">
        <v>101</v>
      </c>
      <c r="C37" s="210">
        <v>893</v>
      </c>
      <c r="D37" s="286">
        <f>(100/1013)*B37</f>
        <v>9.9703849950641654</v>
      </c>
      <c r="G37" s="284" t="s">
        <v>191</v>
      </c>
      <c r="H37" s="213">
        <v>95</v>
      </c>
      <c r="I37" s="210">
        <v>899</v>
      </c>
      <c r="J37" s="286">
        <f>(100/1013)*H37</f>
        <v>9.3780848963474828</v>
      </c>
      <c r="L37" s="284" t="s">
        <v>191</v>
      </c>
      <c r="M37" s="213">
        <v>19</v>
      </c>
    </row>
    <row r="38" spans="1:13" x14ac:dyDescent="0.45">
      <c r="A38" s="284" t="s">
        <v>192</v>
      </c>
      <c r="B38" s="213">
        <v>99</v>
      </c>
      <c r="C38" s="210">
        <v>899</v>
      </c>
      <c r="D38" s="286">
        <f>(100/1017)*B38</f>
        <v>9.7345132743362832</v>
      </c>
      <c r="G38" s="284" t="s">
        <v>192</v>
      </c>
      <c r="H38" s="213">
        <v>95</v>
      </c>
      <c r="I38" s="210">
        <v>903</v>
      </c>
      <c r="J38" s="286">
        <f>(100/1017)*H38</f>
        <v>9.3411996066863328</v>
      </c>
      <c r="L38" s="284" t="s">
        <v>192</v>
      </c>
      <c r="M38" s="213">
        <v>19</v>
      </c>
    </row>
    <row r="39" spans="1:13" x14ac:dyDescent="0.45">
      <c r="A39" s="284" t="s">
        <v>194</v>
      </c>
      <c r="B39" s="213">
        <v>98</v>
      </c>
      <c r="C39" s="210">
        <v>911</v>
      </c>
      <c r="D39" s="286">
        <f>(100/1031)*B39</f>
        <v>9.5053346265761398</v>
      </c>
      <c r="G39" s="284" t="s">
        <v>194</v>
      </c>
      <c r="H39" s="213">
        <v>94</v>
      </c>
      <c r="I39" s="210">
        <v>915</v>
      </c>
      <c r="J39" s="286">
        <f>(100/1031)*H39</f>
        <v>9.1173617846750723</v>
      </c>
      <c r="L39" s="284" t="s">
        <v>194</v>
      </c>
      <c r="M39" s="213">
        <v>22</v>
      </c>
    </row>
    <row r="40" spans="1:13" x14ac:dyDescent="0.45">
      <c r="A40" s="284" t="s">
        <v>195</v>
      </c>
      <c r="B40" s="213">
        <v>106</v>
      </c>
      <c r="C40" s="210">
        <v>928</v>
      </c>
      <c r="D40" s="286">
        <f>(100/1057)*B40</f>
        <v>10.028382213812678</v>
      </c>
      <c r="G40" s="284" t="s">
        <v>186</v>
      </c>
      <c r="H40" s="213">
        <v>101</v>
      </c>
      <c r="I40" s="210">
        <v>933</v>
      </c>
      <c r="J40" s="286">
        <f>(100/1057)*H40</f>
        <v>9.5553453169347211</v>
      </c>
      <c r="L40" s="284" t="s">
        <v>186</v>
      </c>
      <c r="M40" s="213">
        <v>23</v>
      </c>
    </row>
    <row r="41" spans="1:13" x14ac:dyDescent="0.45">
      <c r="A41" s="284" t="s">
        <v>198</v>
      </c>
      <c r="B41" s="213">
        <v>112</v>
      </c>
      <c r="C41" s="210">
        <v>928</v>
      </c>
      <c r="D41" s="286">
        <f>(100/1064)*B41</f>
        <v>10.526315789473683</v>
      </c>
      <c r="G41" s="284" t="s">
        <v>198</v>
      </c>
      <c r="H41" s="213">
        <v>107</v>
      </c>
      <c r="I41" s="210">
        <v>933</v>
      </c>
      <c r="J41" s="286">
        <f>(100/1064)*H41</f>
        <v>10.056390977443609</v>
      </c>
      <c r="L41" s="284" t="s">
        <v>198</v>
      </c>
      <c r="M41" s="213">
        <v>24</v>
      </c>
    </row>
    <row r="42" spans="1:13" x14ac:dyDescent="0.45">
      <c r="A42" s="284" t="s">
        <v>208</v>
      </c>
      <c r="B42" s="213">
        <v>110</v>
      </c>
      <c r="C42" s="210">
        <v>934</v>
      </c>
      <c r="D42" s="286">
        <f>(100/1069)*B42</f>
        <v>10.28999064546305</v>
      </c>
      <c r="G42" s="284" t="s">
        <v>208</v>
      </c>
      <c r="H42" s="213">
        <v>107</v>
      </c>
      <c r="I42" s="210">
        <v>937</v>
      </c>
      <c r="J42" s="286">
        <f>(100/1069)*H42</f>
        <v>10.00935453695042</v>
      </c>
      <c r="L42" s="284" t="s">
        <v>208</v>
      </c>
      <c r="M42" s="213">
        <v>25</v>
      </c>
    </row>
    <row r="45" spans="1:13" x14ac:dyDescent="0.45">
      <c r="A45" s="280" t="s">
        <v>105</v>
      </c>
      <c r="B45" s="287">
        <v>1069</v>
      </c>
    </row>
    <row r="46" spans="1:13" x14ac:dyDescent="0.45">
      <c r="A46" s="160"/>
    </row>
    <row r="47" spans="1:13" x14ac:dyDescent="0.45">
      <c r="A47" s="452" t="s">
        <v>143</v>
      </c>
      <c r="B47" s="452"/>
      <c r="C47" s="452"/>
      <c r="D47" s="452"/>
      <c r="E47" s="452"/>
      <c r="F47" s="452"/>
      <c r="G47" s="452"/>
      <c r="H47" s="452"/>
    </row>
  </sheetData>
  <mergeCells count="2">
    <mergeCell ref="L1:N1"/>
    <mergeCell ref="A47:H47"/>
  </mergeCells>
  <phoneticPr fontId="2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I25"/>
  <sheetViews>
    <sheetView workbookViewId="0">
      <selection activeCell="A2" sqref="A2"/>
    </sheetView>
  </sheetViews>
  <sheetFormatPr defaultColWidth="9.1328125" defaultRowHeight="14.25" x14ac:dyDescent="0.45"/>
  <cols>
    <col min="1" max="1" width="49.265625" style="347" customWidth="1"/>
    <col min="2" max="2" width="10" style="347" bestFit="1" customWidth="1"/>
    <col min="3" max="3" width="18.73046875" style="347" customWidth="1"/>
    <col min="4" max="4" width="15.265625" style="347" customWidth="1"/>
    <col min="5" max="5" width="15.73046875" style="347" bestFit="1" customWidth="1"/>
    <col min="6" max="6" width="15.73046875" style="347" customWidth="1"/>
    <col min="7" max="7" width="13.86328125" style="347" customWidth="1"/>
    <col min="8" max="8" width="16.265625" style="347" customWidth="1"/>
    <col min="9" max="9" width="67.73046875" style="347" customWidth="1"/>
    <col min="10" max="16384" width="9.1328125" style="347"/>
  </cols>
  <sheetData>
    <row r="1" spans="1:9" x14ac:dyDescent="0.45">
      <c r="A1" s="400" t="s">
        <v>209</v>
      </c>
      <c r="B1" s="400"/>
      <c r="C1" s="400"/>
    </row>
    <row r="2" spans="1:9" ht="14.65" thickBot="1" x14ac:dyDescent="0.5"/>
    <row r="3" spans="1:9" ht="14.65" thickBot="1" x14ac:dyDescent="0.5">
      <c r="A3" s="139" t="s">
        <v>56</v>
      </c>
      <c r="B3" s="140" t="s">
        <v>57</v>
      </c>
      <c r="C3" s="246" t="s">
        <v>128</v>
      </c>
      <c r="D3" s="247" t="s">
        <v>58</v>
      </c>
      <c r="E3" s="248" t="s">
        <v>127</v>
      </c>
      <c r="F3" s="249" t="s">
        <v>58</v>
      </c>
      <c r="G3" s="248" t="s">
        <v>133</v>
      </c>
      <c r="H3" s="249" t="s">
        <v>58</v>
      </c>
    </row>
    <row r="4" spans="1:9" x14ac:dyDescent="0.45">
      <c r="A4" s="182" t="s">
        <v>125</v>
      </c>
      <c r="B4" s="316">
        <v>242</v>
      </c>
      <c r="C4" s="178">
        <v>54</v>
      </c>
      <c r="D4" s="319">
        <f>C4/B4</f>
        <v>0.2231404958677686</v>
      </c>
      <c r="E4" s="178">
        <v>27</v>
      </c>
      <c r="F4" s="319">
        <f t="shared" ref="F4:F8" si="0">E4/B4</f>
        <v>0.1115702479338843</v>
      </c>
      <c r="G4" s="178">
        <v>11</v>
      </c>
      <c r="H4" s="319">
        <f t="shared" ref="H4:H8" si="1">G4/B4</f>
        <v>4.5454545454545456E-2</v>
      </c>
    </row>
    <row r="5" spans="1:9" x14ac:dyDescent="0.45">
      <c r="A5" s="155" t="s">
        <v>59</v>
      </c>
      <c r="B5" s="317">
        <v>46</v>
      </c>
      <c r="C5" s="320">
        <v>12</v>
      </c>
      <c r="D5" s="319">
        <f t="shared" ref="D5:D8" si="2">C5/B5</f>
        <v>0.2608695652173913</v>
      </c>
      <c r="E5" s="320">
        <v>4</v>
      </c>
      <c r="F5" s="319">
        <f t="shared" si="0"/>
        <v>8.6956521739130432E-2</v>
      </c>
      <c r="G5" s="320">
        <v>2</v>
      </c>
      <c r="H5" s="319">
        <f t="shared" si="1"/>
        <v>4.3478260869565216E-2</v>
      </c>
    </row>
    <row r="6" spans="1:9" x14ac:dyDescent="0.45">
      <c r="A6" s="155" t="s">
        <v>126</v>
      </c>
      <c r="B6" s="317">
        <v>21</v>
      </c>
      <c r="C6" s="320">
        <v>7</v>
      </c>
      <c r="D6" s="319">
        <f t="shared" si="2"/>
        <v>0.33333333333333331</v>
      </c>
      <c r="E6" s="320">
        <v>2</v>
      </c>
      <c r="F6" s="319">
        <f t="shared" si="0"/>
        <v>9.5238095238095233E-2</v>
      </c>
      <c r="G6" s="320">
        <v>1</v>
      </c>
      <c r="H6" s="319">
        <f t="shared" si="1"/>
        <v>4.7619047619047616E-2</v>
      </c>
      <c r="I6" s="453"/>
    </row>
    <row r="7" spans="1:9" x14ac:dyDescent="0.45">
      <c r="A7" s="155" t="s">
        <v>100</v>
      </c>
      <c r="B7" s="317">
        <v>111</v>
      </c>
      <c r="C7" s="178">
        <v>5</v>
      </c>
      <c r="D7" s="319">
        <f t="shared" si="2"/>
        <v>4.5045045045045043E-2</v>
      </c>
      <c r="E7" s="178">
        <v>10</v>
      </c>
      <c r="F7" s="319">
        <f t="shared" si="0"/>
        <v>9.0090090090090086E-2</v>
      </c>
      <c r="G7" s="178">
        <v>2</v>
      </c>
      <c r="H7" s="319">
        <f t="shared" si="1"/>
        <v>1.8018018018018018E-2</v>
      </c>
      <c r="I7" s="453"/>
    </row>
    <row r="8" spans="1:9" ht="14.65" thickBot="1" x14ac:dyDescent="0.5">
      <c r="A8" s="211" t="s">
        <v>17</v>
      </c>
      <c r="B8" s="318">
        <v>649</v>
      </c>
      <c r="C8" s="321">
        <v>32</v>
      </c>
      <c r="D8" s="322">
        <f t="shared" si="2"/>
        <v>4.930662557781202E-2</v>
      </c>
      <c r="E8" s="321">
        <v>64</v>
      </c>
      <c r="F8" s="322">
        <f t="shared" si="0"/>
        <v>9.861325115562404E-2</v>
      </c>
      <c r="G8" s="321">
        <v>9</v>
      </c>
      <c r="H8" s="322">
        <f t="shared" si="1"/>
        <v>1.386748844375963E-2</v>
      </c>
    </row>
    <row r="9" spans="1:9" ht="14.65" thickBot="1" x14ac:dyDescent="0.5">
      <c r="A9" s="144" t="s">
        <v>57</v>
      </c>
      <c r="B9" s="223">
        <f>SUM(B4:B8)</f>
        <v>1069</v>
      </c>
      <c r="C9" s="189">
        <f t="shared" ref="C9:E9" si="3">SUM(C4:C8)</f>
        <v>110</v>
      </c>
      <c r="D9" s="351">
        <f>C9/B9</f>
        <v>0.1028999064546305</v>
      </c>
      <c r="E9" s="189">
        <f t="shared" si="3"/>
        <v>107</v>
      </c>
      <c r="F9" s="351">
        <f>E9/B9</f>
        <v>0.10009354536950421</v>
      </c>
      <c r="G9" s="189">
        <f>SUM(G4:G8)</f>
        <v>25</v>
      </c>
      <c r="H9" s="352">
        <f>G9/B9</f>
        <v>2.3386342376052385E-2</v>
      </c>
    </row>
    <row r="10" spans="1:9" x14ac:dyDescent="0.45">
      <c r="D10" s="350"/>
    </row>
    <row r="11" spans="1:9" x14ac:dyDescent="0.45">
      <c r="A11" s="454" t="s">
        <v>148</v>
      </c>
      <c r="B11" s="454"/>
      <c r="C11" s="454"/>
      <c r="D11" s="454"/>
      <c r="E11" s="454"/>
      <c r="F11" s="454"/>
    </row>
    <row r="12" spans="1:9" x14ac:dyDescent="0.45">
      <c r="A12" s="153"/>
      <c r="B12" s="97"/>
      <c r="C12" s="97"/>
      <c r="D12" s="97"/>
      <c r="F12" s="97"/>
    </row>
    <row r="13" spans="1:9" x14ac:dyDescent="0.45">
      <c r="A13" s="145" t="s">
        <v>60</v>
      </c>
      <c r="F13" s="97"/>
    </row>
    <row r="14" spans="1:9" x14ac:dyDescent="0.45">
      <c r="A14" s="9" t="s">
        <v>144</v>
      </c>
      <c r="F14" s="97"/>
    </row>
    <row r="15" spans="1:9" x14ac:dyDescent="0.45">
      <c r="A15" s="153" t="s">
        <v>106</v>
      </c>
      <c r="F15" s="97"/>
    </row>
    <row r="20" spans="1:6" x14ac:dyDescent="0.45">
      <c r="A20" s="277"/>
      <c r="B20" s="278"/>
      <c r="C20" s="278"/>
      <c r="D20" s="278"/>
      <c r="E20" s="278"/>
      <c r="F20" s="278"/>
    </row>
    <row r="21" spans="1:6" x14ac:dyDescent="0.45">
      <c r="A21" s="277"/>
      <c r="B21" s="278"/>
      <c r="C21" s="278"/>
      <c r="D21" s="278"/>
      <c r="E21" s="278"/>
      <c r="F21" s="278"/>
    </row>
    <row r="22" spans="1:6" x14ac:dyDescent="0.45">
      <c r="A22" s="277"/>
      <c r="B22" s="278"/>
      <c r="C22" s="278"/>
      <c r="D22" s="278"/>
      <c r="E22" s="278"/>
      <c r="F22" s="278"/>
    </row>
    <row r="23" spans="1:6" x14ac:dyDescent="0.45">
      <c r="A23" s="277"/>
      <c r="B23" s="278"/>
      <c r="C23" s="278"/>
      <c r="D23" s="278"/>
      <c r="E23" s="278"/>
      <c r="F23" s="278"/>
    </row>
    <row r="24" spans="1:6" x14ac:dyDescent="0.45">
      <c r="A24" s="277"/>
      <c r="B24" s="278"/>
      <c r="C24" s="278"/>
      <c r="D24" s="278"/>
      <c r="E24" s="278"/>
      <c r="F24" s="278"/>
    </row>
    <row r="25" spans="1:6" x14ac:dyDescent="0.45">
      <c r="A25" s="277"/>
      <c r="B25" s="278"/>
      <c r="C25" s="278"/>
      <c r="D25" s="278"/>
      <c r="E25" s="278"/>
      <c r="F25" s="278"/>
    </row>
  </sheetData>
  <mergeCells count="3">
    <mergeCell ref="A1:C1"/>
    <mergeCell ref="I6:I7"/>
    <mergeCell ref="A11:F1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H21"/>
  <sheetViews>
    <sheetView zoomScaleNormal="100" workbookViewId="0">
      <selection sqref="A1:D1"/>
    </sheetView>
  </sheetViews>
  <sheetFormatPr defaultColWidth="9.1328125" defaultRowHeight="14.25" x14ac:dyDescent="0.45"/>
  <cols>
    <col min="1" max="1" width="49.3984375" style="347" customWidth="1"/>
    <col min="2" max="2" width="10.59765625" style="347" bestFit="1" customWidth="1"/>
    <col min="3" max="3" width="13.3984375" style="347" customWidth="1"/>
    <col min="4" max="4" width="12" style="347" customWidth="1"/>
    <col min="5" max="5" width="13.73046875" style="347" customWidth="1"/>
    <col min="6" max="8" width="11.86328125" style="347" customWidth="1"/>
    <col min="9" max="9" width="9.1328125" style="347"/>
    <col min="10" max="10" width="31.73046875" style="347" customWidth="1"/>
    <col min="11" max="11" width="9.86328125" style="347" customWidth="1"/>
    <col min="12" max="16384" width="9.1328125" style="347"/>
  </cols>
  <sheetData>
    <row r="1" spans="1:8" x14ac:dyDescent="0.45">
      <c r="A1" s="400" t="s">
        <v>210</v>
      </c>
      <c r="B1" s="400"/>
      <c r="C1" s="400"/>
      <c r="D1" s="400"/>
    </row>
    <row r="3" spans="1:8" ht="28.5" x14ac:dyDescent="0.45">
      <c r="A3" s="146"/>
      <c r="B3" s="147" t="s">
        <v>61</v>
      </c>
      <c r="C3" s="148" t="s">
        <v>131</v>
      </c>
      <c r="D3" s="148" t="s">
        <v>62</v>
      </c>
      <c r="E3" s="148" t="s">
        <v>132</v>
      </c>
      <c r="F3" s="148" t="s">
        <v>63</v>
      </c>
      <c r="G3" s="148" t="s">
        <v>133</v>
      </c>
      <c r="H3" s="148" t="s">
        <v>130</v>
      </c>
    </row>
    <row r="4" spans="1:8" x14ac:dyDescent="0.45">
      <c r="A4" s="149" t="s">
        <v>64</v>
      </c>
      <c r="B4" s="150"/>
      <c r="C4" s="150"/>
      <c r="D4" s="150"/>
      <c r="E4" s="150"/>
      <c r="F4" s="150"/>
      <c r="G4" s="150"/>
      <c r="H4" s="150"/>
    </row>
    <row r="5" spans="1:8" x14ac:dyDescent="0.45">
      <c r="A5" s="159" t="s">
        <v>125</v>
      </c>
      <c r="B5" s="178">
        <v>229</v>
      </c>
      <c r="C5" s="178">
        <v>45</v>
      </c>
      <c r="D5" s="179">
        <f>C5/B5</f>
        <v>0.1965065502183406</v>
      </c>
      <c r="E5" s="178">
        <v>27</v>
      </c>
      <c r="F5" s="179">
        <f>E5/B5</f>
        <v>0.11790393013100436</v>
      </c>
      <c r="G5" s="178">
        <v>8</v>
      </c>
      <c r="H5" s="179">
        <f>G5/B5</f>
        <v>3.4934497816593885E-2</v>
      </c>
    </row>
    <row r="6" spans="1:8" x14ac:dyDescent="0.45">
      <c r="A6" s="159" t="s">
        <v>59</v>
      </c>
      <c r="B6" s="178">
        <v>43</v>
      </c>
      <c r="C6" s="178">
        <v>9</v>
      </c>
      <c r="D6" s="179">
        <f>C6/B6</f>
        <v>0.20930232558139536</v>
      </c>
      <c r="E6" s="178">
        <v>4</v>
      </c>
      <c r="F6" s="179">
        <f>E6/B6</f>
        <v>9.3023255813953487E-2</v>
      </c>
      <c r="G6" s="178">
        <v>2</v>
      </c>
      <c r="H6" s="179">
        <f>G6/B6</f>
        <v>4.6511627906976744E-2</v>
      </c>
    </row>
    <row r="7" spans="1:8" x14ac:dyDescent="0.45">
      <c r="A7" s="159" t="s">
        <v>126</v>
      </c>
      <c r="B7" s="178">
        <v>18</v>
      </c>
      <c r="C7" s="178">
        <v>5</v>
      </c>
      <c r="D7" s="179">
        <f>C7/B7</f>
        <v>0.27777777777777779</v>
      </c>
      <c r="E7" s="178">
        <v>2</v>
      </c>
      <c r="F7" s="179">
        <f>E7/B7</f>
        <v>0.1111111111111111</v>
      </c>
      <c r="G7" s="178">
        <v>0</v>
      </c>
      <c r="H7" s="179">
        <f>G7/B7</f>
        <v>0</v>
      </c>
    </row>
    <row r="8" spans="1:8" x14ac:dyDescent="0.45">
      <c r="A8" s="159" t="s">
        <v>139</v>
      </c>
      <c r="B8" s="178">
        <v>304</v>
      </c>
      <c r="C8" s="178">
        <v>22</v>
      </c>
      <c r="D8" s="179">
        <f>C8/B8</f>
        <v>7.2368421052631582E-2</v>
      </c>
      <c r="E8" s="178">
        <v>21</v>
      </c>
      <c r="F8" s="179">
        <f>E8/B8</f>
        <v>6.9078947368421059E-2</v>
      </c>
      <c r="G8" s="178">
        <v>7</v>
      </c>
      <c r="H8" s="179">
        <f>G8/B8</f>
        <v>2.3026315789473683E-2</v>
      </c>
    </row>
    <row r="9" spans="1:8" ht="14.65" thickBot="1" x14ac:dyDescent="0.5">
      <c r="A9" s="151" t="s">
        <v>65</v>
      </c>
      <c r="B9" s="177">
        <f>SUM(B5:B8)</f>
        <v>594</v>
      </c>
      <c r="C9" s="216">
        <f>SUM(C5:C8)</f>
        <v>81</v>
      </c>
      <c r="D9" s="214">
        <f>C9/B9</f>
        <v>0.13636363636363635</v>
      </c>
      <c r="E9" s="216">
        <f>SUM(E5:E8)</f>
        <v>54</v>
      </c>
      <c r="F9" s="261">
        <f>E9/B9</f>
        <v>9.0909090909090912E-2</v>
      </c>
      <c r="G9" s="216">
        <f>SUM(G5:G8)</f>
        <v>17</v>
      </c>
      <c r="H9" s="261">
        <f>G9/B9</f>
        <v>2.8619528619528621E-2</v>
      </c>
    </row>
    <row r="10" spans="1:8" x14ac:dyDescent="0.45">
      <c r="A10" s="212" t="s">
        <v>66</v>
      </c>
      <c r="B10" s="152"/>
      <c r="C10" s="215"/>
      <c r="D10" s="215"/>
      <c r="E10" s="215"/>
      <c r="F10" s="152"/>
      <c r="G10" s="215"/>
      <c r="H10" s="152"/>
    </row>
    <row r="11" spans="1:8" x14ac:dyDescent="0.45">
      <c r="A11" s="159" t="s">
        <v>103</v>
      </c>
      <c r="B11" s="178">
        <v>13</v>
      </c>
      <c r="C11" s="213">
        <v>9</v>
      </c>
      <c r="D11" s="262">
        <f>C11/B11</f>
        <v>0.69230769230769229</v>
      </c>
      <c r="E11" s="213">
        <v>0</v>
      </c>
      <c r="F11" s="179">
        <f>E11/B11</f>
        <v>0</v>
      </c>
      <c r="G11" s="213">
        <v>3</v>
      </c>
      <c r="H11" s="179">
        <f>G11/B11</f>
        <v>0.23076923076923078</v>
      </c>
    </row>
    <row r="12" spans="1:8" x14ac:dyDescent="0.45">
      <c r="A12" s="159" t="s">
        <v>59</v>
      </c>
      <c r="B12" s="178">
        <v>3</v>
      </c>
      <c r="C12" s="213">
        <v>3</v>
      </c>
      <c r="D12" s="262">
        <f>C12/B12</f>
        <v>1</v>
      </c>
      <c r="E12" s="213">
        <v>0</v>
      </c>
      <c r="F12" s="179">
        <f>E12/B12</f>
        <v>0</v>
      </c>
      <c r="G12" s="213">
        <v>0</v>
      </c>
      <c r="H12" s="179">
        <f>G12/B12</f>
        <v>0</v>
      </c>
    </row>
    <row r="13" spans="1:8" x14ac:dyDescent="0.45">
      <c r="A13" s="159" t="s">
        <v>108</v>
      </c>
      <c r="B13" s="178">
        <v>3</v>
      </c>
      <c r="C13" s="213">
        <v>2</v>
      </c>
      <c r="D13" s="262">
        <f>C13/B13</f>
        <v>0.66666666666666663</v>
      </c>
      <c r="E13" s="213">
        <v>0</v>
      </c>
      <c r="F13" s="179">
        <f>E13/B13</f>
        <v>0</v>
      </c>
      <c r="G13" s="213">
        <v>1</v>
      </c>
      <c r="H13" s="179">
        <f>G13/B13</f>
        <v>0.33333333333333331</v>
      </c>
    </row>
    <row r="14" spans="1:8" x14ac:dyDescent="0.45">
      <c r="A14" s="159" t="s">
        <v>140</v>
      </c>
      <c r="B14" s="178">
        <v>42</v>
      </c>
      <c r="C14" s="213">
        <v>6</v>
      </c>
      <c r="D14" s="262">
        <f>C14/B14</f>
        <v>0.14285714285714285</v>
      </c>
      <c r="E14" s="213">
        <v>6</v>
      </c>
      <c r="F14" s="179">
        <f>E14/B14</f>
        <v>0.14285714285714285</v>
      </c>
      <c r="G14" s="213">
        <v>1</v>
      </c>
      <c r="H14" s="179">
        <f>G14/B14</f>
        <v>2.3809523809523808E-2</v>
      </c>
    </row>
    <row r="15" spans="1:8" ht="14.65" thickBot="1" x14ac:dyDescent="0.5">
      <c r="A15" s="151" t="s">
        <v>67</v>
      </c>
      <c r="B15" s="177">
        <f>SUM(B11:B14)</f>
        <v>61</v>
      </c>
      <c r="C15" s="216">
        <f>SUM(C11:C14)</f>
        <v>20</v>
      </c>
      <c r="D15" s="214">
        <f>C15/B15</f>
        <v>0.32786885245901637</v>
      </c>
      <c r="E15" s="216">
        <f>SUM(E11:E14)</f>
        <v>6</v>
      </c>
      <c r="F15" s="261">
        <f>E15/B15</f>
        <v>9.8360655737704916E-2</v>
      </c>
      <c r="G15" s="216">
        <f>SUM(G11:G14)</f>
        <v>5</v>
      </c>
      <c r="H15" s="261">
        <f>G15/B15</f>
        <v>8.1967213114754092E-2</v>
      </c>
    </row>
    <row r="16" spans="1:8" x14ac:dyDescent="0.45">
      <c r="A16" s="97"/>
      <c r="B16" s="97"/>
      <c r="C16" s="221"/>
      <c r="D16" s="221"/>
      <c r="E16" s="221"/>
      <c r="F16" s="97"/>
      <c r="G16" s="97"/>
      <c r="H16" s="97"/>
    </row>
    <row r="17" spans="1:8" x14ac:dyDescent="0.45">
      <c r="A17" s="454" t="s">
        <v>129</v>
      </c>
      <c r="B17" s="454"/>
      <c r="C17" s="454"/>
      <c r="D17" s="454"/>
      <c r="E17" s="454"/>
      <c r="F17" s="454"/>
      <c r="G17" s="97"/>
      <c r="H17" s="97"/>
    </row>
    <row r="18" spans="1:8" x14ac:dyDescent="0.45">
      <c r="A18" s="97"/>
      <c r="B18" s="97"/>
      <c r="C18" s="221"/>
      <c r="D18" s="221"/>
      <c r="E18" s="221"/>
      <c r="F18" s="97"/>
      <c r="G18" s="97"/>
      <c r="H18" s="97"/>
    </row>
    <row r="19" spans="1:8" x14ac:dyDescent="0.45">
      <c r="A19" s="145" t="s">
        <v>141</v>
      </c>
    </row>
    <row r="20" spans="1:8" x14ac:dyDescent="0.45">
      <c r="A20" s="9" t="s">
        <v>144</v>
      </c>
    </row>
    <row r="21" spans="1:8" x14ac:dyDescent="0.45">
      <c r="A21" s="153" t="s">
        <v>106</v>
      </c>
    </row>
  </sheetData>
  <mergeCells count="2">
    <mergeCell ref="A1:D1"/>
    <mergeCell ref="A17:F1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O17"/>
  <sheetViews>
    <sheetView zoomScaleNormal="100" workbookViewId="0">
      <selection activeCell="G13" sqref="G13"/>
    </sheetView>
  </sheetViews>
  <sheetFormatPr defaultColWidth="9.1328125" defaultRowHeight="14.25" x14ac:dyDescent="0.45"/>
  <cols>
    <col min="1" max="1" width="48.73046875" style="347" customWidth="1"/>
    <col min="2" max="2" width="8.86328125" style="347" customWidth="1"/>
    <col min="3" max="3" width="11.265625" style="347" customWidth="1"/>
    <col min="4" max="4" width="10.86328125" style="347" customWidth="1"/>
    <col min="5" max="5" width="10.265625" style="347" customWidth="1"/>
    <col min="6" max="6" width="12" style="347" customWidth="1"/>
    <col min="7" max="7" width="10.86328125" style="347" customWidth="1"/>
    <col min="8" max="8" width="10.265625" style="347" customWidth="1"/>
    <col min="9" max="9" width="9.1328125" style="347"/>
    <col min="10" max="10" width="23.86328125" style="347" customWidth="1"/>
    <col min="11" max="16384" width="9.1328125" style="347"/>
  </cols>
  <sheetData>
    <row r="1" spans="1:15" x14ac:dyDescent="0.45">
      <c r="A1" s="400" t="s">
        <v>209</v>
      </c>
      <c r="B1" s="400"/>
      <c r="C1" s="400"/>
    </row>
    <row r="2" spans="1:15" ht="14.65" thickBot="1" x14ac:dyDescent="0.5"/>
    <row r="3" spans="1:15" ht="28.9" thickBot="1" x14ac:dyDescent="0.5">
      <c r="A3" s="245" t="s">
        <v>56</v>
      </c>
      <c r="B3" s="246" t="s">
        <v>57</v>
      </c>
      <c r="C3" s="323" t="s">
        <v>128</v>
      </c>
      <c r="D3" s="247" t="s">
        <v>58</v>
      </c>
      <c r="E3" s="281" t="s">
        <v>127</v>
      </c>
      <c r="F3" s="249" t="s">
        <v>58</v>
      </c>
      <c r="G3" s="281" t="s">
        <v>120</v>
      </c>
      <c r="H3" s="249" t="s">
        <v>58</v>
      </c>
    </row>
    <row r="4" spans="1:15" x14ac:dyDescent="0.45">
      <c r="A4" s="250" t="s">
        <v>111</v>
      </c>
      <c r="B4" s="169">
        <v>229</v>
      </c>
      <c r="C4" s="251">
        <v>45</v>
      </c>
      <c r="D4" s="181">
        <f t="shared" ref="D4:D13" si="0">C4/B4</f>
        <v>0.1965065502183406</v>
      </c>
      <c r="E4" s="251">
        <v>27</v>
      </c>
      <c r="F4" s="181">
        <f t="shared" ref="F4:F13" si="1">E4/B4</f>
        <v>0.11790393013100436</v>
      </c>
      <c r="G4" s="251">
        <v>8</v>
      </c>
      <c r="H4" s="181">
        <f t="shared" ref="H4:H13" si="2">G4/B4</f>
        <v>3.4934497816593885E-2</v>
      </c>
    </row>
    <row r="5" spans="1:15" x14ac:dyDescent="0.45">
      <c r="A5" s="182" t="s">
        <v>112</v>
      </c>
      <c r="B5" s="170">
        <v>13</v>
      </c>
      <c r="C5" s="252">
        <v>9</v>
      </c>
      <c r="D5" s="176">
        <f t="shared" si="0"/>
        <v>0.69230769230769229</v>
      </c>
      <c r="E5" s="252">
        <v>0</v>
      </c>
      <c r="F5" s="176">
        <f t="shared" si="1"/>
        <v>0</v>
      </c>
      <c r="G5" s="252">
        <v>3</v>
      </c>
      <c r="H5" s="176">
        <f t="shared" si="2"/>
        <v>0.23076923076923078</v>
      </c>
    </row>
    <row r="6" spans="1:15" x14ac:dyDescent="0.45">
      <c r="A6" s="253" t="s">
        <v>113</v>
      </c>
      <c r="B6" s="170">
        <v>43</v>
      </c>
      <c r="C6" s="252">
        <v>9</v>
      </c>
      <c r="D6" s="176">
        <f t="shared" si="0"/>
        <v>0.20930232558139536</v>
      </c>
      <c r="E6" s="252">
        <v>4</v>
      </c>
      <c r="F6" s="176">
        <f t="shared" si="1"/>
        <v>9.3023255813953487E-2</v>
      </c>
      <c r="G6" s="252">
        <v>2</v>
      </c>
      <c r="H6" s="176">
        <f t="shared" si="2"/>
        <v>4.6511627906976744E-2</v>
      </c>
      <c r="J6" s="348"/>
    </row>
    <row r="7" spans="1:15" ht="28.5" x14ac:dyDescent="0.45">
      <c r="A7" s="253" t="s">
        <v>114</v>
      </c>
      <c r="B7" s="170">
        <v>3</v>
      </c>
      <c r="C7" s="252">
        <v>3</v>
      </c>
      <c r="D7" s="176">
        <f t="shared" si="0"/>
        <v>1</v>
      </c>
      <c r="E7" s="252">
        <v>0</v>
      </c>
      <c r="F7" s="176">
        <f t="shared" si="1"/>
        <v>0</v>
      </c>
      <c r="G7" s="252">
        <v>0</v>
      </c>
      <c r="H7" s="176">
        <f t="shared" si="2"/>
        <v>0</v>
      </c>
    </row>
    <row r="8" spans="1:15" ht="17.25" customHeight="1" x14ac:dyDescent="0.45">
      <c r="A8" s="253" t="s">
        <v>115</v>
      </c>
      <c r="B8" s="170">
        <v>18</v>
      </c>
      <c r="C8" s="252">
        <v>5</v>
      </c>
      <c r="D8" s="176">
        <f t="shared" si="0"/>
        <v>0.27777777777777779</v>
      </c>
      <c r="E8" s="252">
        <v>2</v>
      </c>
      <c r="F8" s="176">
        <f t="shared" si="1"/>
        <v>0.1111111111111111</v>
      </c>
      <c r="G8" s="252">
        <v>0</v>
      </c>
      <c r="H8" s="176">
        <f t="shared" si="2"/>
        <v>0</v>
      </c>
    </row>
    <row r="9" spans="1:15" x14ac:dyDescent="0.45">
      <c r="A9" s="253" t="s">
        <v>116</v>
      </c>
      <c r="B9" s="170">
        <v>3</v>
      </c>
      <c r="C9" s="252">
        <v>2</v>
      </c>
      <c r="D9" s="176">
        <f t="shared" si="0"/>
        <v>0.66666666666666663</v>
      </c>
      <c r="E9" s="252">
        <v>0</v>
      </c>
      <c r="F9" s="176">
        <f t="shared" si="1"/>
        <v>0</v>
      </c>
      <c r="G9" s="252">
        <v>1</v>
      </c>
      <c r="H9" s="176">
        <f t="shared" si="2"/>
        <v>0.33333333333333331</v>
      </c>
      <c r="J9" s="277"/>
      <c r="K9" s="278"/>
      <c r="L9" s="278"/>
      <c r="M9" s="278"/>
      <c r="N9" s="278"/>
      <c r="O9" s="278"/>
    </row>
    <row r="10" spans="1:15" x14ac:dyDescent="0.45">
      <c r="A10" s="155" t="s">
        <v>117</v>
      </c>
      <c r="B10" s="170">
        <v>304</v>
      </c>
      <c r="C10" s="252">
        <v>22</v>
      </c>
      <c r="D10" s="176">
        <f t="shared" si="0"/>
        <v>7.2368421052631582E-2</v>
      </c>
      <c r="E10" s="252">
        <v>31</v>
      </c>
      <c r="F10" s="176">
        <f t="shared" si="1"/>
        <v>0.10197368421052631</v>
      </c>
      <c r="G10" s="252">
        <v>7</v>
      </c>
      <c r="H10" s="176">
        <f t="shared" si="2"/>
        <v>2.3026315789473683E-2</v>
      </c>
      <c r="J10" s="277"/>
      <c r="K10" s="278"/>
      <c r="L10" s="278"/>
      <c r="M10" s="278"/>
      <c r="N10" s="278"/>
      <c r="O10" s="278"/>
    </row>
    <row r="11" spans="1:15" x14ac:dyDescent="0.45">
      <c r="A11" s="155" t="s">
        <v>118</v>
      </c>
      <c r="B11" s="170">
        <v>42</v>
      </c>
      <c r="C11" s="252">
        <v>6</v>
      </c>
      <c r="D11" s="176">
        <f t="shared" si="0"/>
        <v>0.14285714285714285</v>
      </c>
      <c r="E11" s="252">
        <v>6</v>
      </c>
      <c r="F11" s="176">
        <f t="shared" si="1"/>
        <v>0.14285714285714285</v>
      </c>
      <c r="G11" s="252">
        <v>1</v>
      </c>
      <c r="H11" s="176">
        <f t="shared" si="2"/>
        <v>2.3809523809523808E-2</v>
      </c>
      <c r="J11" s="277"/>
      <c r="K11" s="278"/>
      <c r="L11" s="278"/>
      <c r="M11" s="278"/>
      <c r="N11" s="278"/>
      <c r="O11" s="278"/>
    </row>
    <row r="12" spans="1:15" ht="14.65" thickBot="1" x14ac:dyDescent="0.5">
      <c r="A12" s="254" t="s">
        <v>119</v>
      </c>
      <c r="B12" s="288">
        <v>414</v>
      </c>
      <c r="C12" s="255">
        <v>9</v>
      </c>
      <c r="D12" s="256">
        <f t="shared" si="0"/>
        <v>2.1739130434782608E-2</v>
      </c>
      <c r="E12" s="255">
        <v>37</v>
      </c>
      <c r="F12" s="256">
        <f t="shared" si="1"/>
        <v>8.9371980676328497E-2</v>
      </c>
      <c r="G12" s="255">
        <v>3</v>
      </c>
      <c r="H12" s="256">
        <f t="shared" si="2"/>
        <v>7.246376811594203E-3</v>
      </c>
      <c r="J12" s="277"/>
      <c r="K12" s="278"/>
      <c r="L12" s="278"/>
      <c r="M12" s="278"/>
      <c r="N12" s="278"/>
      <c r="O12" s="278"/>
    </row>
    <row r="13" spans="1:15" ht="14.65" thickBot="1" x14ac:dyDescent="0.5">
      <c r="A13" s="144" t="s">
        <v>57</v>
      </c>
      <c r="B13" s="223">
        <f>SUM(B4:B12)</f>
        <v>1069</v>
      </c>
      <c r="C13" s="202">
        <f>SUM(C4:C12)</f>
        <v>110</v>
      </c>
      <c r="D13" s="351">
        <f t="shared" si="0"/>
        <v>0.1028999064546305</v>
      </c>
      <c r="E13" s="202">
        <f>SUM(E4:E12)</f>
        <v>107</v>
      </c>
      <c r="F13" s="351">
        <f t="shared" si="1"/>
        <v>0.10009354536950421</v>
      </c>
      <c r="G13" s="202">
        <f>SUM(G4:G12)</f>
        <v>25</v>
      </c>
      <c r="H13" s="351">
        <f t="shared" si="2"/>
        <v>2.3386342376052385E-2</v>
      </c>
      <c r="J13" s="277"/>
      <c r="K13" s="278"/>
      <c r="L13" s="278"/>
      <c r="M13" s="278"/>
      <c r="N13" s="278"/>
      <c r="O13" s="278"/>
    </row>
    <row r="14" spans="1:15" x14ac:dyDescent="0.45">
      <c r="J14" s="277"/>
      <c r="K14" s="278"/>
      <c r="L14" s="278"/>
      <c r="M14" s="278"/>
      <c r="N14" s="278"/>
      <c r="O14" s="278"/>
    </row>
    <row r="15" spans="1:15" x14ac:dyDescent="0.45">
      <c r="A15" s="454" t="s">
        <v>129</v>
      </c>
      <c r="B15" s="454"/>
      <c r="C15" s="454"/>
      <c r="D15" s="454"/>
      <c r="E15" s="454"/>
      <c r="F15" s="454"/>
      <c r="J15" s="277"/>
      <c r="K15" s="278"/>
      <c r="L15" s="278"/>
      <c r="M15" s="278"/>
      <c r="N15" s="278"/>
      <c r="O15" s="278"/>
    </row>
    <row r="16" spans="1:15" x14ac:dyDescent="0.45">
      <c r="A16" s="348"/>
      <c r="J16" s="277"/>
      <c r="K16" s="278"/>
      <c r="L16" s="278"/>
      <c r="M16" s="278"/>
      <c r="N16" s="278"/>
      <c r="O16" s="278"/>
    </row>
    <row r="17" spans="5:10" x14ac:dyDescent="0.45">
      <c r="E17" s="277"/>
      <c r="F17" s="289"/>
      <c r="G17" s="289"/>
      <c r="H17" s="289"/>
      <c r="I17" s="289"/>
      <c r="J17" s="289"/>
    </row>
  </sheetData>
  <mergeCells count="2">
    <mergeCell ref="A1:C1"/>
    <mergeCell ref="A15:F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Q18"/>
  <sheetViews>
    <sheetView workbookViewId="0">
      <selection sqref="A1:D1"/>
    </sheetView>
  </sheetViews>
  <sheetFormatPr defaultColWidth="9.1328125" defaultRowHeight="14.25" x14ac:dyDescent="0.45"/>
  <cols>
    <col min="1" max="1" width="31.86328125" style="347" customWidth="1"/>
    <col min="2" max="2" width="10" style="347" bestFit="1" customWidth="1"/>
    <col min="3" max="3" width="16.86328125" style="347" customWidth="1"/>
    <col min="4" max="4" width="15.265625" style="347" customWidth="1"/>
    <col min="5" max="5" width="17.265625" style="347" customWidth="1"/>
    <col min="6" max="6" width="13" style="347" customWidth="1"/>
    <col min="7" max="7" width="15.73046875" style="347" customWidth="1"/>
    <col min="8" max="8" width="11.1328125" style="347" customWidth="1"/>
    <col min="9" max="16384" width="9.1328125" style="347"/>
  </cols>
  <sheetData>
    <row r="1" spans="1:17" x14ac:dyDescent="0.45">
      <c r="A1" s="400" t="s">
        <v>211</v>
      </c>
      <c r="B1" s="400"/>
      <c r="C1" s="400"/>
      <c r="D1" s="400"/>
    </row>
    <row r="2" spans="1:17" ht="14.65" thickBot="1" x14ac:dyDescent="0.5"/>
    <row r="3" spans="1:17" ht="14.65" thickBot="1" x14ac:dyDescent="0.5">
      <c r="A3" s="139" t="s">
        <v>68</v>
      </c>
      <c r="B3" s="140" t="s">
        <v>57</v>
      </c>
      <c r="C3" s="140" t="s">
        <v>128</v>
      </c>
      <c r="D3" s="141" t="s">
        <v>58</v>
      </c>
      <c r="E3" s="154" t="s">
        <v>127</v>
      </c>
      <c r="F3" s="142" t="s">
        <v>58</v>
      </c>
      <c r="G3" s="154" t="s">
        <v>134</v>
      </c>
      <c r="H3" s="142" t="s">
        <v>58</v>
      </c>
    </row>
    <row r="4" spans="1:17" x14ac:dyDescent="0.45">
      <c r="A4" s="182" t="s">
        <v>150</v>
      </c>
      <c r="B4" s="169">
        <v>18</v>
      </c>
      <c r="C4" s="217">
        <v>0</v>
      </c>
      <c r="D4" s="218">
        <f t="shared" ref="D4:D11" si="0">C4/B4</f>
        <v>0</v>
      </c>
      <c r="E4" s="219">
        <v>2</v>
      </c>
      <c r="F4" s="220">
        <f t="shared" ref="F4:F14" si="1">E4/B4</f>
        <v>0.1111111111111111</v>
      </c>
      <c r="G4" s="219">
        <v>0</v>
      </c>
      <c r="H4" s="220">
        <f t="shared" ref="H4:H14" si="2">G4/B4</f>
        <v>0</v>
      </c>
      <c r="I4" s="221"/>
    </row>
    <row r="5" spans="1:17" x14ac:dyDescent="0.45">
      <c r="A5" s="155" t="s">
        <v>136</v>
      </c>
      <c r="B5" s="170">
        <v>111</v>
      </c>
      <c r="C5" s="217">
        <v>5</v>
      </c>
      <c r="D5" s="218">
        <f t="shared" si="0"/>
        <v>4.5045045045045043E-2</v>
      </c>
      <c r="E5" s="219">
        <v>10</v>
      </c>
      <c r="F5" s="220">
        <f t="shared" si="1"/>
        <v>9.0090090090090086E-2</v>
      </c>
      <c r="G5" s="219">
        <v>2</v>
      </c>
      <c r="H5" s="220">
        <f t="shared" si="2"/>
        <v>1.8018018018018018E-2</v>
      </c>
      <c r="I5" s="221"/>
    </row>
    <row r="6" spans="1:17" x14ac:dyDescent="0.45">
      <c r="A6" s="155" t="s">
        <v>172</v>
      </c>
      <c r="B6" s="170">
        <v>22</v>
      </c>
      <c r="C6" s="217">
        <v>0</v>
      </c>
      <c r="D6" s="218">
        <f t="shared" si="0"/>
        <v>0</v>
      </c>
      <c r="E6" s="219">
        <v>0</v>
      </c>
      <c r="F6" s="220">
        <f t="shared" si="1"/>
        <v>0</v>
      </c>
      <c r="G6" s="219">
        <v>0</v>
      </c>
      <c r="H6" s="220">
        <f t="shared" si="2"/>
        <v>0</v>
      </c>
      <c r="I6" s="221"/>
      <c r="J6" s="453"/>
      <c r="K6" s="453"/>
      <c r="L6" s="453"/>
      <c r="M6" s="453"/>
      <c r="N6" s="453"/>
      <c r="O6" s="453"/>
      <c r="P6" s="453"/>
      <c r="Q6" s="453"/>
    </row>
    <row r="7" spans="1:17" x14ac:dyDescent="0.45">
      <c r="A7" s="155" t="s">
        <v>137</v>
      </c>
      <c r="B7" s="170">
        <v>61</v>
      </c>
      <c r="C7" s="217">
        <v>20</v>
      </c>
      <c r="D7" s="218">
        <f t="shared" si="0"/>
        <v>0.32786885245901637</v>
      </c>
      <c r="E7" s="219">
        <v>6</v>
      </c>
      <c r="F7" s="220">
        <f t="shared" si="1"/>
        <v>9.8360655737704916E-2</v>
      </c>
      <c r="G7" s="219">
        <v>5</v>
      </c>
      <c r="H7" s="220">
        <f t="shared" si="2"/>
        <v>8.1967213114754092E-2</v>
      </c>
      <c r="I7" s="221"/>
    </row>
    <row r="8" spans="1:17" x14ac:dyDescent="0.45">
      <c r="A8" s="155" t="s">
        <v>138</v>
      </c>
      <c r="B8" s="170">
        <v>483</v>
      </c>
      <c r="C8" s="217">
        <v>76</v>
      </c>
      <c r="D8" s="218">
        <f t="shared" si="0"/>
        <v>0.15734989648033126</v>
      </c>
      <c r="E8" s="219">
        <v>54</v>
      </c>
      <c r="F8" s="220">
        <f t="shared" si="1"/>
        <v>0.11180124223602485</v>
      </c>
      <c r="G8" s="219">
        <v>15</v>
      </c>
      <c r="H8" s="220">
        <f t="shared" si="2"/>
        <v>3.1055900621118012E-2</v>
      </c>
      <c r="I8" s="221"/>
    </row>
    <row r="9" spans="1:17" x14ac:dyDescent="0.45">
      <c r="A9" s="155" t="s">
        <v>122</v>
      </c>
      <c r="B9" s="184">
        <v>188</v>
      </c>
      <c r="C9" s="217">
        <v>6</v>
      </c>
      <c r="D9" s="218">
        <f t="shared" si="0"/>
        <v>3.1914893617021274E-2</v>
      </c>
      <c r="E9" s="219">
        <v>22</v>
      </c>
      <c r="F9" s="220">
        <f t="shared" si="1"/>
        <v>0.11702127659574468</v>
      </c>
      <c r="G9" s="219">
        <v>2</v>
      </c>
      <c r="H9" s="220">
        <f t="shared" si="2"/>
        <v>1.0638297872340425E-2</v>
      </c>
      <c r="I9" s="221"/>
    </row>
    <row r="10" spans="1:17" s="387" customFormat="1" x14ac:dyDescent="0.45">
      <c r="A10" s="388" t="s">
        <v>173</v>
      </c>
      <c r="B10" s="184">
        <v>57</v>
      </c>
      <c r="C10" s="217">
        <v>0</v>
      </c>
      <c r="D10" s="218">
        <f t="shared" ref="D10" si="3">C10/B10</f>
        <v>0</v>
      </c>
      <c r="E10" s="219">
        <v>1</v>
      </c>
      <c r="F10" s="220">
        <f t="shared" ref="F10" si="4">E10/B10</f>
        <v>1.7543859649122806E-2</v>
      </c>
      <c r="G10" s="219">
        <v>0</v>
      </c>
      <c r="H10" s="220">
        <f t="shared" ref="H10" si="5">G10/B10</f>
        <v>0</v>
      </c>
      <c r="I10" s="221"/>
    </row>
    <row r="11" spans="1:17" x14ac:dyDescent="0.45">
      <c r="A11" s="388" t="s">
        <v>50</v>
      </c>
      <c r="B11" s="184">
        <v>40</v>
      </c>
      <c r="C11" s="217">
        <v>0</v>
      </c>
      <c r="D11" s="218">
        <f t="shared" si="0"/>
        <v>0</v>
      </c>
      <c r="E11" s="219">
        <v>4</v>
      </c>
      <c r="F11" s="220">
        <f t="shared" si="1"/>
        <v>0.1</v>
      </c>
      <c r="G11" s="219">
        <v>0</v>
      </c>
      <c r="H11" s="220">
        <f t="shared" si="2"/>
        <v>0</v>
      </c>
      <c r="I11" s="221"/>
    </row>
    <row r="12" spans="1:17" s="387" customFormat="1" x14ac:dyDescent="0.45">
      <c r="A12" s="389" t="s">
        <v>145</v>
      </c>
      <c r="B12" s="184">
        <v>87</v>
      </c>
      <c r="C12" s="217">
        <v>3</v>
      </c>
      <c r="D12" s="218">
        <f t="shared" ref="D12" si="6">C12/B12</f>
        <v>3.4482758620689655E-2</v>
      </c>
      <c r="E12" s="219">
        <v>8</v>
      </c>
      <c r="F12" s="220">
        <f t="shared" ref="F12" si="7">E12/B12</f>
        <v>9.1954022988505746E-2</v>
      </c>
      <c r="G12" s="219">
        <v>1</v>
      </c>
      <c r="H12" s="220">
        <f t="shared" ref="H12" si="8">G12/B12</f>
        <v>1.1494252873563218E-2</v>
      </c>
      <c r="I12" s="221"/>
    </row>
    <row r="13" spans="1:17" s="387" customFormat="1" ht="14.65" thickBot="1" x14ac:dyDescent="0.5">
      <c r="A13" s="394" t="s">
        <v>176</v>
      </c>
      <c r="B13" s="393">
        <v>2</v>
      </c>
      <c r="C13" s="217">
        <v>0</v>
      </c>
      <c r="D13" s="218">
        <f t="shared" ref="D13" si="9">C13/B13</f>
        <v>0</v>
      </c>
      <c r="E13" s="219">
        <v>0</v>
      </c>
      <c r="F13" s="220">
        <f t="shared" ref="F13" si="10">E13/B13</f>
        <v>0</v>
      </c>
      <c r="G13" s="219">
        <v>0</v>
      </c>
      <c r="H13" s="220">
        <f t="shared" ref="H13" si="11">G13/B13</f>
        <v>0</v>
      </c>
      <c r="I13" s="221"/>
    </row>
    <row r="14" spans="1:17" ht="14.65" thickBot="1" x14ac:dyDescent="0.5">
      <c r="A14" s="395" t="s">
        <v>57</v>
      </c>
      <c r="B14" s="223">
        <f>SUM(B4:B13)</f>
        <v>1069</v>
      </c>
      <c r="C14" s="189">
        <f>SUM(C4:C13)</f>
        <v>110</v>
      </c>
      <c r="D14" s="353">
        <f>C14/B14</f>
        <v>0.1028999064546305</v>
      </c>
      <c r="E14" s="202">
        <f>SUM(E4:E13)</f>
        <v>107</v>
      </c>
      <c r="F14" s="354">
        <f t="shared" si="1"/>
        <v>0.10009354536950421</v>
      </c>
      <c r="G14" s="202">
        <f>SUM(G4:G13)</f>
        <v>25</v>
      </c>
      <c r="H14" s="354">
        <f t="shared" si="2"/>
        <v>2.3386342376052385E-2</v>
      </c>
      <c r="I14" s="221"/>
    </row>
    <row r="15" spans="1:17" x14ac:dyDescent="0.45">
      <c r="A15" s="157"/>
      <c r="B15" s="17"/>
      <c r="C15" s="222"/>
      <c r="D15" s="222"/>
      <c r="E15" s="222"/>
      <c r="F15" s="222"/>
      <c r="G15" s="222"/>
      <c r="H15" s="222"/>
      <c r="I15" s="221"/>
    </row>
    <row r="16" spans="1:17" x14ac:dyDescent="0.45">
      <c r="A16" s="454" t="s">
        <v>129</v>
      </c>
      <c r="B16" s="454"/>
      <c r="C16" s="454"/>
      <c r="D16" s="454"/>
      <c r="E16" s="454"/>
      <c r="F16" s="454"/>
      <c r="G16" s="221"/>
      <c r="H16" s="221"/>
      <c r="I16" s="221"/>
      <c r="J16" s="221"/>
      <c r="K16" s="221"/>
      <c r="L16" s="221"/>
    </row>
    <row r="17" spans="1:12" x14ac:dyDescent="0.45">
      <c r="A17" s="349"/>
      <c r="B17" s="349"/>
      <c r="C17" s="349"/>
      <c r="D17" s="349"/>
      <c r="E17" s="349"/>
      <c r="F17" s="349"/>
      <c r="G17" s="221"/>
      <c r="H17" s="221"/>
      <c r="I17" s="221"/>
      <c r="J17" s="221"/>
      <c r="K17" s="221"/>
      <c r="L17" s="221"/>
    </row>
    <row r="18" spans="1:12" x14ac:dyDescent="0.45">
      <c r="A18" s="9" t="s">
        <v>144</v>
      </c>
    </row>
  </sheetData>
  <mergeCells count="3">
    <mergeCell ref="A1:D1"/>
    <mergeCell ref="A16:F16"/>
    <mergeCell ref="J6:Q6"/>
  </mergeCells>
  <pageMargins left="0.25" right="0.25" top="0.75" bottom="0.75" header="0.3" footer="0.3"/>
  <pageSetup paperSize="9" scale="6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249977111117893"/>
  </sheetPr>
  <dimension ref="A1:H12"/>
  <sheetViews>
    <sheetView workbookViewId="0">
      <selection sqref="A1:E1"/>
    </sheetView>
  </sheetViews>
  <sheetFormatPr defaultColWidth="9.1328125" defaultRowHeight="14.25" x14ac:dyDescent="0.45"/>
  <cols>
    <col min="1" max="1" width="18.86328125" style="347" customWidth="1"/>
    <col min="2" max="2" width="12" style="347" customWidth="1"/>
    <col min="3" max="3" width="9.265625" style="347" customWidth="1"/>
    <col min="4" max="4" width="7.3984375" style="347" customWidth="1"/>
    <col min="5" max="5" width="13.1328125" style="347" customWidth="1"/>
    <col min="6" max="6" width="9.86328125" style="347" bestFit="1" customWidth="1"/>
    <col min="7" max="7" width="15.59765625" style="347" customWidth="1"/>
    <col min="8" max="8" width="11.3984375" style="347" bestFit="1" customWidth="1"/>
    <col min="9" max="16384" width="9.1328125" style="347"/>
  </cols>
  <sheetData>
    <row r="1" spans="1:8" x14ac:dyDescent="0.45">
      <c r="A1" s="400" t="s">
        <v>213</v>
      </c>
      <c r="B1" s="400"/>
      <c r="C1" s="400"/>
      <c r="D1" s="400"/>
      <c r="E1" s="400"/>
    </row>
    <row r="2" spans="1:8" ht="14.65" thickBot="1" x14ac:dyDescent="0.5">
      <c r="A2" s="158"/>
    </row>
    <row r="3" spans="1:8" ht="14.65" thickBot="1" x14ac:dyDescent="0.5">
      <c r="A3" s="168"/>
      <c r="B3" s="263" t="s">
        <v>2</v>
      </c>
      <c r="C3" s="264" t="s">
        <v>165</v>
      </c>
      <c r="D3" s="265" t="s">
        <v>168</v>
      </c>
      <c r="E3" s="266" t="s">
        <v>37</v>
      </c>
      <c r="F3" s="265" t="s">
        <v>95</v>
      </c>
      <c r="G3" s="266" t="s">
        <v>96</v>
      </c>
      <c r="H3" s="265" t="s">
        <v>97</v>
      </c>
    </row>
    <row r="4" spans="1:8" ht="14.65" thickBot="1" x14ac:dyDescent="0.5">
      <c r="A4" s="267" t="s">
        <v>98</v>
      </c>
      <c r="B4" s="268">
        <v>62</v>
      </c>
      <c r="C4" s="269">
        <v>10</v>
      </c>
      <c r="D4" s="270">
        <f>C4/B4</f>
        <v>0.16129032258064516</v>
      </c>
      <c r="E4" s="269">
        <v>39</v>
      </c>
      <c r="F4" s="270">
        <f>E4/B4</f>
        <v>0.62903225806451613</v>
      </c>
      <c r="G4" s="269">
        <v>30</v>
      </c>
      <c r="H4" s="271">
        <f>G4/B4</f>
        <v>0.4838709677419355</v>
      </c>
    </row>
    <row r="5" spans="1:8" ht="14.65" thickBot="1" x14ac:dyDescent="0.5">
      <c r="A5" s="267" t="s">
        <v>51</v>
      </c>
      <c r="B5" s="272">
        <v>115</v>
      </c>
      <c r="C5" s="273">
        <v>9</v>
      </c>
      <c r="D5" s="274">
        <f>C5/B5</f>
        <v>7.8260869565217397E-2</v>
      </c>
      <c r="E5" s="273">
        <v>80</v>
      </c>
      <c r="F5" s="274">
        <f>E5/B5</f>
        <v>0.69565217391304346</v>
      </c>
      <c r="G5" s="273">
        <v>43</v>
      </c>
      <c r="H5" s="275">
        <f>G5/B5</f>
        <v>0.37391304347826088</v>
      </c>
    </row>
    <row r="6" spans="1:8" ht="14.65" thickBot="1" x14ac:dyDescent="0.5">
      <c r="A6" s="241" t="s">
        <v>147</v>
      </c>
      <c r="B6" s="355">
        <v>159</v>
      </c>
      <c r="C6" s="355">
        <v>14</v>
      </c>
      <c r="D6" s="356">
        <f>C6/B6</f>
        <v>8.8050314465408799E-2</v>
      </c>
      <c r="E6" s="355">
        <v>159</v>
      </c>
      <c r="F6" s="356">
        <f>E6/B6</f>
        <v>1</v>
      </c>
      <c r="G6" s="355">
        <v>52</v>
      </c>
      <c r="H6" s="356">
        <f>G6/B6</f>
        <v>0.32704402515723269</v>
      </c>
    </row>
    <row r="8" spans="1:8" x14ac:dyDescent="0.45">
      <c r="A8" s="9" t="s">
        <v>144</v>
      </c>
    </row>
    <row r="10" spans="1:8" x14ac:dyDescent="0.45">
      <c r="A10" s="9" t="s">
        <v>146</v>
      </c>
    </row>
    <row r="12" spans="1:8" x14ac:dyDescent="0.45">
      <c r="A12" s="455" t="s">
        <v>158</v>
      </c>
      <c r="B12" s="455"/>
      <c r="C12" s="455"/>
      <c r="D12" s="455"/>
    </row>
  </sheetData>
  <mergeCells count="2">
    <mergeCell ref="A1:E1"/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14"/>
  <sheetViews>
    <sheetView workbookViewId="0">
      <selection sqref="A1:D1"/>
    </sheetView>
  </sheetViews>
  <sheetFormatPr defaultRowHeight="14.25" x14ac:dyDescent="0.45"/>
  <cols>
    <col min="1" max="1" width="32.59765625" customWidth="1"/>
    <col min="2" max="11" width="10.73046875" customWidth="1"/>
    <col min="12" max="23" width="10.73046875" style="383" customWidth="1"/>
    <col min="24" max="25" width="10.73046875" customWidth="1"/>
    <col min="26" max="26" width="8.3984375" customWidth="1"/>
    <col min="27" max="27" width="12.86328125" bestFit="1" customWidth="1"/>
    <col min="28" max="28" width="15" bestFit="1" customWidth="1"/>
    <col min="29" max="29" width="19.73046875" bestFit="1" customWidth="1"/>
    <col min="30" max="30" width="15" bestFit="1" customWidth="1"/>
    <col min="31" max="31" width="12.86328125" bestFit="1" customWidth="1"/>
    <col min="32" max="32" width="15" bestFit="1" customWidth="1"/>
    <col min="33" max="33" width="12.86328125" bestFit="1" customWidth="1"/>
    <col min="34" max="34" width="15" bestFit="1" customWidth="1"/>
  </cols>
  <sheetData>
    <row r="1" spans="1:25" s="324" customFormat="1" x14ac:dyDescent="0.45">
      <c r="A1" s="400" t="s">
        <v>202</v>
      </c>
      <c r="B1" s="400"/>
      <c r="C1" s="400"/>
      <c r="D1" s="400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5" s="324" customFormat="1" ht="14.65" thickBot="1" x14ac:dyDescent="0.5"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5" s="324" customFormat="1" ht="45" customHeight="1" thickBot="1" x14ac:dyDescent="0.5">
      <c r="A3" s="78" t="s">
        <v>6</v>
      </c>
      <c r="B3" s="403" t="s">
        <v>150</v>
      </c>
      <c r="C3" s="404"/>
      <c r="D3" s="404" t="s">
        <v>171</v>
      </c>
      <c r="E3" s="404"/>
      <c r="F3" s="404" t="s">
        <v>172</v>
      </c>
      <c r="G3" s="404"/>
      <c r="H3" s="404" t="s">
        <v>66</v>
      </c>
      <c r="I3" s="404"/>
      <c r="J3" s="404" t="s">
        <v>173</v>
      </c>
      <c r="K3" s="405"/>
      <c r="L3" s="404" t="s">
        <v>50</v>
      </c>
      <c r="M3" s="404"/>
      <c r="N3" s="404" t="s">
        <v>174</v>
      </c>
      <c r="O3" s="404"/>
      <c r="P3" s="404" t="s">
        <v>145</v>
      </c>
      <c r="Q3" s="404"/>
      <c r="R3" s="404" t="s">
        <v>175</v>
      </c>
      <c r="S3" s="404"/>
      <c r="T3" s="404" t="s">
        <v>176</v>
      </c>
      <c r="U3" s="404"/>
      <c r="V3" s="404" t="s">
        <v>177</v>
      </c>
      <c r="W3" s="405"/>
      <c r="X3" s="401" t="s">
        <v>29</v>
      </c>
      <c r="Y3" s="402"/>
    </row>
    <row r="4" spans="1:25" s="1" customFormat="1" ht="28.9" thickBot="1" x14ac:dyDescent="0.5">
      <c r="A4" s="373"/>
      <c r="B4" s="376" t="s">
        <v>4</v>
      </c>
      <c r="C4" s="122" t="s">
        <v>5</v>
      </c>
      <c r="D4" s="122" t="s">
        <v>4</v>
      </c>
      <c r="E4" s="122" t="s">
        <v>5</v>
      </c>
      <c r="F4" s="122" t="s">
        <v>4</v>
      </c>
      <c r="G4" s="122" t="s">
        <v>5</v>
      </c>
      <c r="H4" s="122" t="s">
        <v>4</v>
      </c>
      <c r="I4" s="7" t="s">
        <v>5</v>
      </c>
      <c r="J4" s="7" t="s">
        <v>4</v>
      </c>
      <c r="K4" s="7" t="s">
        <v>5</v>
      </c>
      <c r="L4" s="7" t="s">
        <v>4</v>
      </c>
      <c r="M4" s="7" t="s">
        <v>5</v>
      </c>
      <c r="N4" s="7" t="s">
        <v>4</v>
      </c>
      <c r="O4" s="7" t="s">
        <v>5</v>
      </c>
      <c r="P4" s="7" t="s">
        <v>4</v>
      </c>
      <c r="Q4" s="7" t="s">
        <v>5</v>
      </c>
      <c r="R4" s="7" t="s">
        <v>4</v>
      </c>
      <c r="S4" s="7" t="s">
        <v>5</v>
      </c>
      <c r="T4" s="7" t="s">
        <v>4</v>
      </c>
      <c r="U4" s="7" t="s">
        <v>5</v>
      </c>
      <c r="V4" s="7" t="s">
        <v>4</v>
      </c>
      <c r="W4" s="38" t="s">
        <v>5</v>
      </c>
      <c r="X4" s="44" t="s">
        <v>4</v>
      </c>
      <c r="Y4" s="8" t="s">
        <v>5</v>
      </c>
    </row>
    <row r="5" spans="1:25" s="324" customFormat="1" x14ac:dyDescent="0.45">
      <c r="A5" s="374" t="s">
        <v>165</v>
      </c>
      <c r="B5" s="174">
        <v>3</v>
      </c>
      <c r="C5" s="129">
        <f>B5/$B$10</f>
        <v>0.16666666666666666</v>
      </c>
      <c r="D5" s="186">
        <v>7</v>
      </c>
      <c r="E5" s="129">
        <f>D5/$D$10</f>
        <v>7.4468085106382975E-2</v>
      </c>
      <c r="F5" s="186">
        <v>4</v>
      </c>
      <c r="G5" s="129">
        <f>F5/$F$10</f>
        <v>0.18181818181818182</v>
      </c>
      <c r="H5" s="186">
        <v>0</v>
      </c>
      <c r="I5" s="129">
        <f>H5/$H$10</f>
        <v>0</v>
      </c>
      <c r="J5" s="186">
        <v>16</v>
      </c>
      <c r="K5" s="35">
        <f>J5/$J$10</f>
        <v>0.2807017543859649</v>
      </c>
      <c r="L5" s="186">
        <v>5</v>
      </c>
      <c r="M5" s="35">
        <f>L5/$L$10</f>
        <v>0.125</v>
      </c>
      <c r="N5" s="186">
        <v>26</v>
      </c>
      <c r="O5" s="35">
        <f>N5/$N$10</f>
        <v>0.17567567567567569</v>
      </c>
      <c r="P5" s="186">
        <v>23</v>
      </c>
      <c r="Q5" s="35">
        <f>P5/$P$10</f>
        <v>0.26436781609195403</v>
      </c>
      <c r="R5" s="186">
        <v>67</v>
      </c>
      <c r="S5" s="35">
        <f>R5/$R$10</f>
        <v>0.19034090909090909</v>
      </c>
      <c r="T5" s="186">
        <v>0</v>
      </c>
      <c r="U5" s="35">
        <f>T5/$T$10</f>
        <v>0</v>
      </c>
      <c r="V5" s="186">
        <v>26</v>
      </c>
      <c r="W5" s="313">
        <f>V5/$V$10</f>
        <v>0.13829787234042554</v>
      </c>
      <c r="X5" s="174">
        <f>B5+D5+F5+H5+J5+L5+N5+P5+R5+T5+V5</f>
        <v>177</v>
      </c>
      <c r="Y5" s="65">
        <f>X5/$X$10</f>
        <v>0.16557530402245088</v>
      </c>
    </row>
    <row r="6" spans="1:25" s="324" customFormat="1" x14ac:dyDescent="0.45">
      <c r="A6" s="375" t="s">
        <v>30</v>
      </c>
      <c r="B6" s="174">
        <v>3</v>
      </c>
      <c r="C6" s="130">
        <f>B6/$B$10</f>
        <v>0.16666666666666666</v>
      </c>
      <c r="D6" s="186">
        <v>5</v>
      </c>
      <c r="E6" s="130">
        <f>D6/$D$10</f>
        <v>5.3191489361702128E-2</v>
      </c>
      <c r="F6" s="186">
        <v>3</v>
      </c>
      <c r="G6" s="130">
        <f>F6/$F$10</f>
        <v>0.13636363636363635</v>
      </c>
      <c r="H6" s="186">
        <v>5</v>
      </c>
      <c r="I6" s="130">
        <f>H6/$H$10</f>
        <v>8.1967213114754092E-2</v>
      </c>
      <c r="J6" s="186">
        <v>1</v>
      </c>
      <c r="K6" s="27">
        <f>J6/$J$10</f>
        <v>1.7543859649122806E-2</v>
      </c>
      <c r="L6" s="186">
        <v>2</v>
      </c>
      <c r="M6" s="35">
        <f t="shared" ref="M6:M9" si="0">L6/$L$10</f>
        <v>0.05</v>
      </c>
      <c r="N6" s="186">
        <v>5</v>
      </c>
      <c r="O6" s="35">
        <f t="shared" ref="O6:O9" si="1">N6/$N$10</f>
        <v>3.3783783783783786E-2</v>
      </c>
      <c r="P6" s="186">
        <v>3</v>
      </c>
      <c r="Q6" s="35">
        <f t="shared" ref="Q6:Q9" si="2">P6/$P$10</f>
        <v>3.4482758620689655E-2</v>
      </c>
      <c r="R6" s="186">
        <v>9</v>
      </c>
      <c r="S6" s="35">
        <f t="shared" ref="S6:S9" si="3">R6/$R$10</f>
        <v>2.556818181818182E-2</v>
      </c>
      <c r="T6" s="186">
        <v>0</v>
      </c>
      <c r="U6" s="35">
        <f t="shared" ref="U6:U9" si="4">T6/$T$10</f>
        <v>0</v>
      </c>
      <c r="V6" s="186">
        <v>4</v>
      </c>
      <c r="W6" s="313">
        <f t="shared" ref="W6:W9" si="5">V6/$V$10</f>
        <v>2.1276595744680851E-2</v>
      </c>
      <c r="X6" s="174">
        <f t="shared" ref="X6:X9" si="6">B6+D6+F6+H6+J6+L6+N6+P6+R6+T6+V6</f>
        <v>40</v>
      </c>
      <c r="Y6" s="66">
        <f>X6/$X$10</f>
        <v>3.7418147801683815E-2</v>
      </c>
    </row>
    <row r="7" spans="1:25" s="324" customFormat="1" x14ac:dyDescent="0.45">
      <c r="A7" s="380" t="s">
        <v>24</v>
      </c>
      <c r="B7" s="369">
        <v>10</v>
      </c>
      <c r="C7" s="131">
        <f>B7/$B$10</f>
        <v>0.55555555555555558</v>
      </c>
      <c r="D7" s="371">
        <v>76</v>
      </c>
      <c r="E7" s="131">
        <f>D7/$D$10</f>
        <v>0.80851063829787229</v>
      </c>
      <c r="F7" s="371">
        <v>14</v>
      </c>
      <c r="G7" s="131">
        <f>F7/$F$10</f>
        <v>0.63636363636363635</v>
      </c>
      <c r="H7" s="371">
        <v>53</v>
      </c>
      <c r="I7" s="131">
        <f>H7/$H$10</f>
        <v>0.86885245901639341</v>
      </c>
      <c r="J7" s="371">
        <v>40</v>
      </c>
      <c r="K7" s="28">
        <f>J7/$J$10</f>
        <v>0.70175438596491224</v>
      </c>
      <c r="L7" s="371">
        <v>31</v>
      </c>
      <c r="M7" s="35">
        <f t="shared" si="0"/>
        <v>0.77500000000000002</v>
      </c>
      <c r="N7" s="371">
        <v>115</v>
      </c>
      <c r="O7" s="35">
        <f t="shared" si="1"/>
        <v>0.77702702702702697</v>
      </c>
      <c r="P7" s="371">
        <v>58</v>
      </c>
      <c r="Q7" s="35">
        <f t="shared" si="2"/>
        <v>0.66666666666666663</v>
      </c>
      <c r="R7" s="371">
        <v>267</v>
      </c>
      <c r="S7" s="35">
        <f t="shared" si="3"/>
        <v>0.75852272727272729</v>
      </c>
      <c r="T7" s="371">
        <v>2</v>
      </c>
      <c r="U7" s="35">
        <f t="shared" si="4"/>
        <v>1</v>
      </c>
      <c r="V7" s="371">
        <v>151</v>
      </c>
      <c r="W7" s="313">
        <f t="shared" si="5"/>
        <v>0.80319148936170215</v>
      </c>
      <c r="X7" s="174">
        <f t="shared" si="6"/>
        <v>817</v>
      </c>
      <c r="Y7" s="67">
        <f>X7/$X$10</f>
        <v>0.76426566884939195</v>
      </c>
    </row>
    <row r="8" spans="1:25" s="368" customFormat="1" x14ac:dyDescent="0.45">
      <c r="A8" s="379" t="s">
        <v>18</v>
      </c>
      <c r="B8" s="252">
        <v>0</v>
      </c>
      <c r="C8" s="131">
        <f t="shared" ref="C8:C9" si="7">B8/$B$10</f>
        <v>0</v>
      </c>
      <c r="D8" s="178">
        <v>2</v>
      </c>
      <c r="E8" s="131">
        <f t="shared" ref="E8:E9" si="8">D8/$D$10</f>
        <v>2.1276595744680851E-2</v>
      </c>
      <c r="F8" s="178">
        <v>1</v>
      </c>
      <c r="G8" s="131">
        <f t="shared" ref="G8:G9" si="9">F8/$F$10</f>
        <v>4.5454545454545456E-2</v>
      </c>
      <c r="H8" s="178">
        <v>3</v>
      </c>
      <c r="I8" s="131">
        <f t="shared" ref="I8:I9" si="10">H8/$H$10</f>
        <v>4.9180327868852458E-2</v>
      </c>
      <c r="J8" s="178">
        <v>0</v>
      </c>
      <c r="K8" s="28">
        <f>J8/$J$10</f>
        <v>0</v>
      </c>
      <c r="L8" s="178">
        <v>1</v>
      </c>
      <c r="M8" s="35">
        <f t="shared" si="0"/>
        <v>2.5000000000000001E-2</v>
      </c>
      <c r="N8" s="178">
        <v>1</v>
      </c>
      <c r="O8" s="35">
        <f t="shared" si="1"/>
        <v>6.7567567567567571E-3</v>
      </c>
      <c r="P8" s="178">
        <v>1</v>
      </c>
      <c r="Q8" s="35">
        <f t="shared" si="2"/>
        <v>1.1494252873563218E-2</v>
      </c>
      <c r="R8" s="178">
        <v>4</v>
      </c>
      <c r="S8" s="35">
        <f t="shared" si="3"/>
        <v>1.1363636363636364E-2</v>
      </c>
      <c r="T8" s="178">
        <v>0</v>
      </c>
      <c r="U8" s="35">
        <f t="shared" si="4"/>
        <v>0</v>
      </c>
      <c r="V8" s="178">
        <v>2</v>
      </c>
      <c r="W8" s="313">
        <f t="shared" si="5"/>
        <v>1.0638297872340425E-2</v>
      </c>
      <c r="X8" s="174">
        <f t="shared" si="6"/>
        <v>15</v>
      </c>
      <c r="Y8" s="67">
        <f t="shared" ref="Y8:Y9" si="11">X8/$X$10</f>
        <v>1.4031805425631431E-2</v>
      </c>
    </row>
    <row r="9" spans="1:25" s="368" customFormat="1" ht="14.65" thickBot="1" x14ac:dyDescent="0.5">
      <c r="A9" s="372" t="s">
        <v>25</v>
      </c>
      <c r="B9" s="377">
        <v>2</v>
      </c>
      <c r="C9" s="131">
        <f t="shared" si="7"/>
        <v>0.1111111111111111</v>
      </c>
      <c r="D9" s="378">
        <v>4</v>
      </c>
      <c r="E9" s="131">
        <f t="shared" si="8"/>
        <v>4.2553191489361701E-2</v>
      </c>
      <c r="F9" s="378">
        <v>0</v>
      </c>
      <c r="G9" s="131">
        <f t="shared" si="9"/>
        <v>0</v>
      </c>
      <c r="H9" s="378">
        <v>0</v>
      </c>
      <c r="I9" s="131">
        <f t="shared" si="10"/>
        <v>0</v>
      </c>
      <c r="J9" s="378">
        <v>0</v>
      </c>
      <c r="K9" s="28">
        <f>J9/$J$10</f>
        <v>0</v>
      </c>
      <c r="L9" s="378">
        <v>1</v>
      </c>
      <c r="M9" s="35">
        <f t="shared" si="0"/>
        <v>2.5000000000000001E-2</v>
      </c>
      <c r="N9" s="378">
        <v>1</v>
      </c>
      <c r="O9" s="35">
        <f t="shared" si="1"/>
        <v>6.7567567567567571E-3</v>
      </c>
      <c r="P9" s="378">
        <v>2</v>
      </c>
      <c r="Q9" s="35">
        <f t="shared" si="2"/>
        <v>2.2988505747126436E-2</v>
      </c>
      <c r="R9" s="378">
        <v>5</v>
      </c>
      <c r="S9" s="35">
        <f t="shared" si="3"/>
        <v>1.4204545454545454E-2</v>
      </c>
      <c r="T9" s="378">
        <v>0</v>
      </c>
      <c r="U9" s="35">
        <f t="shared" si="4"/>
        <v>0</v>
      </c>
      <c r="V9" s="378">
        <v>5</v>
      </c>
      <c r="W9" s="313">
        <f t="shared" si="5"/>
        <v>2.6595744680851064E-2</v>
      </c>
      <c r="X9" s="174">
        <f t="shared" si="6"/>
        <v>20</v>
      </c>
      <c r="Y9" s="67">
        <f t="shared" si="11"/>
        <v>1.8709073900841908E-2</v>
      </c>
    </row>
    <row r="10" spans="1:25" s="324" customFormat="1" ht="14.65" thickBot="1" x14ac:dyDescent="0.5">
      <c r="A10" s="19" t="s">
        <v>2</v>
      </c>
      <c r="B10" s="125">
        <f>SUM(B5:B9)</f>
        <v>18</v>
      </c>
      <c r="C10" s="126">
        <f>B10/$X$10</f>
        <v>1.6838166510757719E-2</v>
      </c>
      <c r="D10" s="127">
        <f>SUM(D5:D9)</f>
        <v>94</v>
      </c>
      <c r="E10" s="126">
        <f>D10/$X$10</f>
        <v>8.7932647333956976E-2</v>
      </c>
      <c r="F10" s="127">
        <f>SUM(F5:F9)</f>
        <v>22</v>
      </c>
      <c r="G10" s="126">
        <f>F10/$X$10</f>
        <v>2.05799812909261E-2</v>
      </c>
      <c r="H10" s="200">
        <f>SUM(H5:H9)</f>
        <v>61</v>
      </c>
      <c r="I10" s="198">
        <f>H10/$X$10</f>
        <v>5.7062675397567819E-2</v>
      </c>
      <c r="J10" s="201">
        <f>SUM(J5:J9)</f>
        <v>57</v>
      </c>
      <c r="K10" s="5">
        <f>J10/$X$10</f>
        <v>5.3320860617399442E-2</v>
      </c>
      <c r="L10" s="201">
        <f>SUM(L5:L9)</f>
        <v>40</v>
      </c>
      <c r="M10" s="5">
        <f>L10/$X$10</f>
        <v>3.7418147801683815E-2</v>
      </c>
      <c r="N10" s="201">
        <f>SUM(N5:N9)</f>
        <v>148</v>
      </c>
      <c r="O10" s="5">
        <f>N10/$X$10</f>
        <v>0.13844714686623011</v>
      </c>
      <c r="P10" s="201">
        <f>SUM(P5:P9)</f>
        <v>87</v>
      </c>
      <c r="Q10" s="5">
        <f>P10/$X$10</f>
        <v>8.1384471468662303E-2</v>
      </c>
      <c r="R10" s="201">
        <f>SUM(R5:R9)</f>
        <v>352</v>
      </c>
      <c r="S10" s="5">
        <f>R10/$X$10</f>
        <v>0.3292797006548176</v>
      </c>
      <c r="T10" s="201">
        <f>SUM(T5:T9)</f>
        <v>2</v>
      </c>
      <c r="U10" s="5">
        <f>T10/$X$10</f>
        <v>1.8709073900841909E-3</v>
      </c>
      <c r="V10" s="201">
        <f>SUM(V5:V9)</f>
        <v>188</v>
      </c>
      <c r="W10" s="41">
        <f>V10/$X$10</f>
        <v>0.17586529466791395</v>
      </c>
      <c r="X10" s="223">
        <f>B10+D10+F10+H10+J10+L10+N10+P10+R10+T10+V10</f>
        <v>1069</v>
      </c>
      <c r="Y10" s="171">
        <f>SUM(Y5:Y9)</f>
        <v>0.99999999999999989</v>
      </c>
    </row>
    <row r="11" spans="1:25" s="324" customFormat="1" x14ac:dyDescent="0.45">
      <c r="A11" s="163"/>
      <c r="B11" s="143"/>
      <c r="C11" s="164"/>
      <c r="D11" s="143"/>
      <c r="E11" s="164"/>
      <c r="F11" s="143"/>
      <c r="G11" s="164"/>
      <c r="H11" s="143"/>
      <c r="I11" s="165"/>
      <c r="J11" s="17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43"/>
      <c r="Y11" s="165"/>
    </row>
    <row r="12" spans="1:25" s="324" customFormat="1" x14ac:dyDescent="0.45">
      <c r="B12" s="97"/>
      <c r="C12" s="97"/>
      <c r="D12" s="97"/>
      <c r="E12" s="97"/>
      <c r="I12" s="358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</row>
    <row r="13" spans="1:25" s="324" customFormat="1" x14ac:dyDescent="0.45">
      <c r="A13" s="9" t="s">
        <v>144</v>
      </c>
      <c r="B13" s="97"/>
      <c r="C13" s="97"/>
      <c r="D13" s="97"/>
      <c r="E13" s="97"/>
      <c r="I13" s="357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</row>
    <row r="14" spans="1:25" s="324" customFormat="1" x14ac:dyDescent="0.45"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</row>
  </sheetData>
  <mergeCells count="13">
    <mergeCell ref="A1:D1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27"/>
  <sheetViews>
    <sheetView zoomScaleNormal="100" workbookViewId="0">
      <selection sqref="A1:C1"/>
    </sheetView>
  </sheetViews>
  <sheetFormatPr defaultRowHeight="14.25" x14ac:dyDescent="0.45"/>
  <cols>
    <col min="1" max="1" width="28.59765625" customWidth="1"/>
    <col min="2" max="2" width="11.73046875" bestFit="1" customWidth="1"/>
    <col min="3" max="3" width="11.73046875" customWidth="1"/>
    <col min="5" max="5" width="9.59765625" bestFit="1" customWidth="1"/>
  </cols>
  <sheetData>
    <row r="1" spans="1:19" s="324" customFormat="1" x14ac:dyDescent="0.45">
      <c r="A1" s="400" t="s">
        <v>203</v>
      </c>
      <c r="B1" s="400"/>
      <c r="C1" s="400"/>
    </row>
    <row r="2" spans="1:19" s="324" customFormat="1" x14ac:dyDescent="0.45">
      <c r="A2" s="1"/>
    </row>
    <row r="3" spans="1:19" s="324" customFormat="1" ht="14.65" thickBot="1" x14ac:dyDescent="0.5">
      <c r="A3" s="34" t="s">
        <v>6</v>
      </c>
      <c r="B3" s="406" t="s">
        <v>31</v>
      </c>
      <c r="C3" s="406"/>
      <c r="D3" s="406" t="s">
        <v>32</v>
      </c>
      <c r="E3" s="406"/>
      <c r="F3" s="406" t="s">
        <v>54</v>
      </c>
      <c r="G3" s="406"/>
      <c r="H3" s="406" t="s">
        <v>153</v>
      </c>
      <c r="I3" s="406"/>
      <c r="J3" s="406" t="s">
        <v>33</v>
      </c>
      <c r="K3" s="406"/>
      <c r="L3" s="406" t="s">
        <v>34</v>
      </c>
      <c r="M3" s="406"/>
      <c r="N3" s="406" t="s">
        <v>35</v>
      </c>
      <c r="O3" s="406"/>
      <c r="P3" s="406" t="s">
        <v>36</v>
      </c>
      <c r="Q3" s="406"/>
      <c r="R3" s="406" t="s">
        <v>2</v>
      </c>
      <c r="S3" s="406"/>
    </row>
    <row r="4" spans="1:19" s="324" customFormat="1" ht="28.9" thickBot="1" x14ac:dyDescent="0.5">
      <c r="A4" s="37"/>
      <c r="B4" s="121" t="s">
        <v>4</v>
      </c>
      <c r="C4" s="122" t="s">
        <v>5</v>
      </c>
      <c r="D4" s="122" t="s">
        <v>4</v>
      </c>
      <c r="E4" s="122" t="s">
        <v>5</v>
      </c>
      <c r="F4" s="122" t="s">
        <v>4</v>
      </c>
      <c r="G4" s="122" t="s">
        <v>5</v>
      </c>
      <c r="H4" s="122" t="s">
        <v>4</v>
      </c>
      <c r="I4" s="122" t="s">
        <v>5</v>
      </c>
      <c r="J4" s="122" t="s">
        <v>4</v>
      </c>
      <c r="K4" s="122" t="s">
        <v>5</v>
      </c>
      <c r="L4" s="122" t="s">
        <v>4</v>
      </c>
      <c r="M4" s="7" t="s">
        <v>5</v>
      </c>
      <c r="N4" s="7" t="s">
        <v>4</v>
      </c>
      <c r="O4" s="7" t="s">
        <v>5</v>
      </c>
      <c r="P4" s="7" t="s">
        <v>4</v>
      </c>
      <c r="Q4" s="38" t="s">
        <v>5</v>
      </c>
      <c r="R4" s="44" t="s">
        <v>4</v>
      </c>
      <c r="S4" s="8" t="s">
        <v>5</v>
      </c>
    </row>
    <row r="5" spans="1:19" s="324" customFormat="1" x14ac:dyDescent="0.45">
      <c r="A5" s="69" t="s">
        <v>165</v>
      </c>
      <c r="B5" s="183">
        <v>37</v>
      </c>
      <c r="C5" s="129">
        <f>B5/$B$10</f>
        <v>0.22424242424242424</v>
      </c>
      <c r="D5" s="183">
        <v>8</v>
      </c>
      <c r="E5" s="129">
        <f>D5/$D$10</f>
        <v>6.1068702290076333E-2</v>
      </c>
      <c r="F5" s="183">
        <v>24</v>
      </c>
      <c r="G5" s="129">
        <f>F5/$F$10</f>
        <v>0.27272727272727271</v>
      </c>
      <c r="H5" s="183">
        <v>69</v>
      </c>
      <c r="I5" s="129">
        <f>H5/$H$10</f>
        <v>0.28512396694214875</v>
      </c>
      <c r="J5" s="183">
        <v>2</v>
      </c>
      <c r="K5" s="129">
        <f>J5/$J$10</f>
        <v>0.14285714285714285</v>
      </c>
      <c r="L5" s="183">
        <v>27</v>
      </c>
      <c r="M5" s="129">
        <f>L5/$L$10</f>
        <v>0.10975609756097561</v>
      </c>
      <c r="N5" s="183">
        <v>10</v>
      </c>
      <c r="O5" s="129">
        <f>N5/$N$10</f>
        <v>0.10204081632653061</v>
      </c>
      <c r="P5" s="183">
        <v>0</v>
      </c>
      <c r="Q5" s="187">
        <f>P5/$P$10</f>
        <v>0</v>
      </c>
      <c r="R5" s="174">
        <f>B5+D5+F5+H5+J5+L5+N5+P5</f>
        <v>177</v>
      </c>
      <c r="S5" s="206">
        <f>R5/$R$10</f>
        <v>0.16557530402245088</v>
      </c>
    </row>
    <row r="6" spans="1:19" s="324" customFormat="1" x14ac:dyDescent="0.45">
      <c r="A6" s="70" t="s">
        <v>30</v>
      </c>
      <c r="B6" s="175">
        <v>4</v>
      </c>
      <c r="C6" s="130">
        <f>B6/$B$10</f>
        <v>2.4242424242424242E-2</v>
      </c>
      <c r="D6" s="175">
        <v>5</v>
      </c>
      <c r="E6" s="130">
        <f>D6/$D$10</f>
        <v>3.8167938931297711E-2</v>
      </c>
      <c r="F6" s="175">
        <v>3</v>
      </c>
      <c r="G6" s="129">
        <f>F6/$F$10</f>
        <v>3.4090909090909088E-2</v>
      </c>
      <c r="H6" s="175">
        <v>12</v>
      </c>
      <c r="I6" s="129">
        <f>H6/$H$10</f>
        <v>4.9586776859504134E-2</v>
      </c>
      <c r="J6" s="175">
        <v>0</v>
      </c>
      <c r="K6" s="130">
        <f>J6/$J$10</f>
        <v>0</v>
      </c>
      <c r="L6" s="175">
        <v>8</v>
      </c>
      <c r="M6" s="130">
        <f>L6/$L$10</f>
        <v>3.2520325203252036E-2</v>
      </c>
      <c r="N6" s="175">
        <v>2</v>
      </c>
      <c r="O6" s="130">
        <f>N6/$N$10</f>
        <v>2.0408163265306121E-2</v>
      </c>
      <c r="P6" s="175">
        <v>6</v>
      </c>
      <c r="Q6" s="188">
        <f>P6/$P$10</f>
        <v>7.0588235294117646E-2</v>
      </c>
      <c r="R6" s="174">
        <f t="shared" ref="R6:R9" si="0">B6+D6+F6+H6+J6+L6+N6+P6</f>
        <v>40</v>
      </c>
      <c r="S6" s="66">
        <f>R6/$R$10</f>
        <v>3.7418147801683815E-2</v>
      </c>
    </row>
    <row r="7" spans="1:19" s="324" customFormat="1" x14ac:dyDescent="0.45">
      <c r="A7" s="70" t="s">
        <v>24</v>
      </c>
      <c r="B7" s="252">
        <v>122</v>
      </c>
      <c r="C7" s="130">
        <f>B7/$B$10</f>
        <v>0.73939393939393938</v>
      </c>
      <c r="D7" s="175">
        <v>116</v>
      </c>
      <c r="E7" s="130">
        <f>D7/$D$10</f>
        <v>0.8854961832061069</v>
      </c>
      <c r="F7" s="175">
        <v>55</v>
      </c>
      <c r="G7" s="130">
        <f>F7/$F$10</f>
        <v>0.625</v>
      </c>
      <c r="H7" s="175">
        <v>150</v>
      </c>
      <c r="I7" s="130">
        <f>H7/$H$10</f>
        <v>0.6198347107438017</v>
      </c>
      <c r="J7" s="175">
        <v>12</v>
      </c>
      <c r="K7" s="130">
        <f>J7/$J$10</f>
        <v>0.8571428571428571</v>
      </c>
      <c r="L7" s="175">
        <v>202</v>
      </c>
      <c r="M7" s="130">
        <f>L7/$L$10</f>
        <v>0.82113821138211385</v>
      </c>
      <c r="N7" s="175">
        <v>84</v>
      </c>
      <c r="O7" s="130">
        <f>N7/$N$10</f>
        <v>0.8571428571428571</v>
      </c>
      <c r="P7" s="175">
        <v>76</v>
      </c>
      <c r="Q7" s="188">
        <f>P7/$P$10</f>
        <v>0.89411764705882357</v>
      </c>
      <c r="R7" s="252">
        <f t="shared" si="0"/>
        <v>817</v>
      </c>
      <c r="S7" s="66">
        <f>R7/$R$10</f>
        <v>0.76426566884939195</v>
      </c>
    </row>
    <row r="8" spans="1:19" s="368" customFormat="1" x14ac:dyDescent="0.45">
      <c r="A8" s="70" t="s">
        <v>18</v>
      </c>
      <c r="B8" s="252">
        <v>1</v>
      </c>
      <c r="C8" s="130">
        <f t="shared" ref="C8:C9" si="1">B8/$B$10</f>
        <v>6.0606060606060606E-3</v>
      </c>
      <c r="D8" s="175">
        <v>2</v>
      </c>
      <c r="E8" s="130">
        <f t="shared" ref="E8:E9" si="2">D8/$D$10</f>
        <v>1.5267175572519083E-2</v>
      </c>
      <c r="F8" s="175">
        <v>3</v>
      </c>
      <c r="G8" s="130">
        <f t="shared" ref="G8:G9" si="3">F8/$F$10</f>
        <v>3.4090909090909088E-2</v>
      </c>
      <c r="H8" s="175">
        <v>1</v>
      </c>
      <c r="I8" s="130">
        <f t="shared" ref="I8:I9" si="4">H8/$H$10</f>
        <v>4.1322314049586778E-3</v>
      </c>
      <c r="J8" s="175">
        <v>0</v>
      </c>
      <c r="K8" s="130">
        <f t="shared" ref="K8:K9" si="5">J8/$J$10</f>
        <v>0</v>
      </c>
      <c r="L8" s="175">
        <v>5</v>
      </c>
      <c r="M8" s="130">
        <f t="shared" ref="M8:M9" si="6">L8/$L$10</f>
        <v>2.032520325203252E-2</v>
      </c>
      <c r="N8" s="175">
        <v>0</v>
      </c>
      <c r="O8" s="130">
        <f t="shared" ref="O8:O9" si="7">N8/$N$10</f>
        <v>0</v>
      </c>
      <c r="P8" s="175">
        <v>3</v>
      </c>
      <c r="Q8" s="188">
        <f t="shared" ref="Q8:Q9" si="8">P8/$P$10</f>
        <v>3.5294117647058823E-2</v>
      </c>
      <c r="R8" s="252">
        <f t="shared" si="0"/>
        <v>15</v>
      </c>
      <c r="S8" s="66">
        <f t="shared" ref="S8:S9" si="9">R8/$R$10</f>
        <v>1.4031805425631431E-2</v>
      </c>
    </row>
    <row r="9" spans="1:19" s="368" customFormat="1" ht="14.65" thickBot="1" x14ac:dyDescent="0.5">
      <c r="A9" s="13" t="s">
        <v>25</v>
      </c>
      <c r="B9" s="370">
        <v>1</v>
      </c>
      <c r="C9" s="130">
        <f t="shared" si="1"/>
        <v>6.0606060606060606E-3</v>
      </c>
      <c r="D9" s="370">
        <v>0</v>
      </c>
      <c r="E9" s="130">
        <f t="shared" si="2"/>
        <v>0</v>
      </c>
      <c r="F9" s="370">
        <v>3</v>
      </c>
      <c r="G9" s="130">
        <f t="shared" si="3"/>
        <v>3.4090909090909088E-2</v>
      </c>
      <c r="H9" s="370">
        <v>10</v>
      </c>
      <c r="I9" s="130">
        <f t="shared" si="4"/>
        <v>4.1322314049586778E-2</v>
      </c>
      <c r="J9" s="370">
        <v>0</v>
      </c>
      <c r="K9" s="130">
        <f t="shared" si="5"/>
        <v>0</v>
      </c>
      <c r="L9" s="370">
        <v>4</v>
      </c>
      <c r="M9" s="130">
        <f t="shared" si="6"/>
        <v>1.6260162601626018E-2</v>
      </c>
      <c r="N9" s="370">
        <v>2</v>
      </c>
      <c r="O9" s="130">
        <f t="shared" si="7"/>
        <v>2.0408163265306121E-2</v>
      </c>
      <c r="P9" s="370">
        <v>0</v>
      </c>
      <c r="Q9" s="188">
        <f t="shared" si="8"/>
        <v>0</v>
      </c>
      <c r="R9" s="252">
        <f t="shared" si="0"/>
        <v>20</v>
      </c>
      <c r="S9" s="66">
        <f t="shared" si="9"/>
        <v>1.8709073900841908E-2</v>
      </c>
    </row>
    <row r="10" spans="1:19" s="324" customFormat="1" ht="14.65" thickBot="1" x14ac:dyDescent="0.5">
      <c r="A10" s="19" t="s">
        <v>2</v>
      </c>
      <c r="B10" s="125">
        <f t="shared" ref="B10:S10" si="10">SUM(B5:B9)</f>
        <v>165</v>
      </c>
      <c r="C10" s="126">
        <f t="shared" si="10"/>
        <v>1</v>
      </c>
      <c r="D10" s="125">
        <f t="shared" si="10"/>
        <v>131</v>
      </c>
      <c r="E10" s="166">
        <f t="shared" si="10"/>
        <v>1</v>
      </c>
      <c r="F10" s="125">
        <f t="shared" si="10"/>
        <v>88</v>
      </c>
      <c r="G10" s="166">
        <f t="shared" si="10"/>
        <v>0.99999999999999989</v>
      </c>
      <c r="H10" s="125">
        <f t="shared" si="10"/>
        <v>242</v>
      </c>
      <c r="I10" s="166">
        <f t="shared" si="10"/>
        <v>1</v>
      </c>
      <c r="J10" s="125">
        <f t="shared" si="10"/>
        <v>14</v>
      </c>
      <c r="K10" s="166">
        <f t="shared" si="10"/>
        <v>1</v>
      </c>
      <c r="L10" s="125">
        <f t="shared" si="10"/>
        <v>246</v>
      </c>
      <c r="M10" s="166">
        <f t="shared" si="10"/>
        <v>0.99999999999999989</v>
      </c>
      <c r="N10" s="125">
        <f t="shared" si="10"/>
        <v>98</v>
      </c>
      <c r="O10" s="166">
        <f t="shared" si="10"/>
        <v>1</v>
      </c>
      <c r="P10" s="125">
        <f t="shared" si="10"/>
        <v>85</v>
      </c>
      <c r="Q10" s="166">
        <f t="shared" si="10"/>
        <v>1</v>
      </c>
      <c r="R10" s="185">
        <f t="shared" si="10"/>
        <v>1069</v>
      </c>
      <c r="S10" s="6">
        <f t="shared" si="10"/>
        <v>0.99999999999999989</v>
      </c>
    </row>
    <row r="11" spans="1:19" s="97" customFormat="1" ht="14.65" thickBot="1" x14ac:dyDescent="0.5">
      <c r="A11" s="205" t="s">
        <v>200</v>
      </c>
      <c r="R11" s="174"/>
    </row>
    <row r="12" spans="1:19" s="97" customFormat="1" ht="14.65" thickBot="1" x14ac:dyDescent="0.5">
      <c r="A12" s="204" t="s">
        <v>193</v>
      </c>
      <c r="B12" s="407">
        <v>0.25159999999999999</v>
      </c>
      <c r="C12" s="408"/>
      <c r="D12" s="407">
        <v>7.6300000000000007E-2</v>
      </c>
      <c r="E12" s="408"/>
      <c r="F12" s="407">
        <v>0.29330000000000001</v>
      </c>
      <c r="G12" s="408"/>
      <c r="H12" s="407">
        <v>0.28739999999999999</v>
      </c>
      <c r="I12" s="408"/>
      <c r="J12" s="407">
        <v>0.18179999999999999</v>
      </c>
      <c r="K12" s="408"/>
      <c r="L12" s="407">
        <v>0.1026</v>
      </c>
      <c r="M12" s="408"/>
      <c r="N12" s="407">
        <v>8.3299999999999999E-2</v>
      </c>
      <c r="O12" s="408"/>
      <c r="P12" s="407">
        <v>0</v>
      </c>
      <c r="Q12" s="408"/>
      <c r="R12" s="407">
        <v>0.1721</v>
      </c>
      <c r="S12" s="408"/>
    </row>
    <row r="13" spans="1:19" s="97" customFormat="1" x14ac:dyDescent="0.45">
      <c r="A13" s="324"/>
    </row>
    <row r="14" spans="1:19" s="324" customFormat="1" x14ac:dyDescent="0.45">
      <c r="A14" s="9" t="s">
        <v>144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9" x14ac:dyDescent="0.45">
      <c r="A15" s="9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1:19" x14ac:dyDescent="0.45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2:12" x14ac:dyDescent="0.4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2:12" x14ac:dyDescent="0.45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</row>
    <row r="19" spans="2:12" x14ac:dyDescent="0.45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2:12" x14ac:dyDescent="0.45"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2:12" x14ac:dyDescent="0.45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</row>
    <row r="22" spans="2:12" x14ac:dyDescent="0.45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2:12" x14ac:dyDescent="0.45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2:12" x14ac:dyDescent="0.45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2:12" x14ac:dyDescent="0.45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2:12" x14ac:dyDescent="0.45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2:12" x14ac:dyDescent="0.45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</sheetData>
  <mergeCells count="19">
    <mergeCell ref="A1:C1"/>
    <mergeCell ref="D12:E12"/>
    <mergeCell ref="B12:C12"/>
    <mergeCell ref="H12:I12"/>
    <mergeCell ref="F12:G12"/>
    <mergeCell ref="B3:C3"/>
    <mergeCell ref="D3:E3"/>
    <mergeCell ref="L12:M12"/>
    <mergeCell ref="J12:K12"/>
    <mergeCell ref="L3:M3"/>
    <mergeCell ref="H3:I3"/>
    <mergeCell ref="F3:G3"/>
    <mergeCell ref="J3:K3"/>
    <mergeCell ref="R3:S3"/>
    <mergeCell ref="P3:Q3"/>
    <mergeCell ref="N3:O3"/>
    <mergeCell ref="R12:S12"/>
    <mergeCell ref="P12:Q12"/>
    <mergeCell ref="N12:O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22"/>
  <sheetViews>
    <sheetView workbookViewId="0">
      <selection sqref="A1:D1"/>
    </sheetView>
  </sheetViews>
  <sheetFormatPr defaultRowHeight="14.25" x14ac:dyDescent="0.45"/>
  <cols>
    <col min="1" max="1" width="18.59765625" customWidth="1"/>
    <col min="18" max="19" width="9.1328125" style="257"/>
  </cols>
  <sheetData>
    <row r="1" spans="1:21" s="324" customFormat="1" x14ac:dyDescent="0.45">
      <c r="A1" s="400" t="s">
        <v>204</v>
      </c>
      <c r="B1" s="400"/>
      <c r="C1" s="400"/>
      <c r="D1" s="400"/>
    </row>
    <row r="2" spans="1:21" s="324" customFormat="1" ht="14.65" thickBot="1" x14ac:dyDescent="0.5"/>
    <row r="3" spans="1:21" s="324" customFormat="1" ht="14.65" thickBot="1" x14ac:dyDescent="0.5">
      <c r="A3" s="47" t="s">
        <v>0</v>
      </c>
      <c r="B3" s="413" t="s">
        <v>170</v>
      </c>
      <c r="C3" s="414"/>
      <c r="D3" s="413" t="s">
        <v>26</v>
      </c>
      <c r="E3" s="414"/>
      <c r="F3" s="413" t="s">
        <v>27</v>
      </c>
      <c r="G3" s="414"/>
      <c r="H3" s="413" t="s">
        <v>40</v>
      </c>
      <c r="I3" s="414"/>
      <c r="J3" s="419" t="s">
        <v>91</v>
      </c>
      <c r="K3" s="420"/>
      <c r="L3" s="417" t="s">
        <v>29</v>
      </c>
      <c r="M3" s="418"/>
      <c r="N3" s="409" t="s">
        <v>149</v>
      </c>
      <c r="O3" s="410"/>
      <c r="P3" s="411" t="s">
        <v>49</v>
      </c>
      <c r="Q3" s="412"/>
      <c r="R3" s="413" t="s">
        <v>44</v>
      </c>
      <c r="S3" s="414"/>
    </row>
    <row r="4" spans="1:21" s="324" customFormat="1" ht="28.9" thickBot="1" x14ac:dyDescent="0.5">
      <c r="A4" s="33" t="s">
        <v>1</v>
      </c>
      <c r="B4" s="60" t="s">
        <v>4</v>
      </c>
      <c r="C4" s="61" t="s">
        <v>39</v>
      </c>
      <c r="D4" s="61" t="s">
        <v>4</v>
      </c>
      <c r="E4" s="61" t="s">
        <v>39</v>
      </c>
      <c r="F4" s="61" t="s">
        <v>4</v>
      </c>
      <c r="G4" s="61" t="s">
        <v>39</v>
      </c>
      <c r="H4" s="61" t="s">
        <v>4</v>
      </c>
      <c r="I4" s="61" t="s">
        <v>39</v>
      </c>
      <c r="J4" s="61" t="s">
        <v>4</v>
      </c>
      <c r="K4" s="62" t="s">
        <v>39</v>
      </c>
      <c r="L4" s="63" t="s">
        <v>4</v>
      </c>
      <c r="M4" s="64" t="s">
        <v>39</v>
      </c>
      <c r="N4" s="61" t="s">
        <v>4</v>
      </c>
      <c r="O4" s="62" t="s">
        <v>39</v>
      </c>
      <c r="P4" s="99" t="s">
        <v>4</v>
      </c>
      <c r="Q4" s="299" t="s">
        <v>39</v>
      </c>
      <c r="R4" s="63" t="s">
        <v>4</v>
      </c>
      <c r="S4" s="64" t="s">
        <v>39</v>
      </c>
    </row>
    <row r="5" spans="1:21" s="324" customFormat="1" x14ac:dyDescent="0.45">
      <c r="A5" s="55" t="s">
        <v>37</v>
      </c>
      <c r="B5" s="195">
        <v>1</v>
      </c>
      <c r="C5" s="128">
        <f>B5/$B$7</f>
        <v>0.25</v>
      </c>
      <c r="D5" s="196">
        <v>78</v>
      </c>
      <c r="E5" s="128">
        <f>D5/$D$7</f>
        <v>0.73584905660377353</v>
      </c>
      <c r="F5" s="196">
        <v>327</v>
      </c>
      <c r="G5" s="128">
        <f>F5/$F$7</f>
        <v>0.66328600405679516</v>
      </c>
      <c r="H5" s="196">
        <v>214</v>
      </c>
      <c r="I5" s="128">
        <f>H5/$H$7</f>
        <v>0.59116022099447518</v>
      </c>
      <c r="J5" s="196">
        <v>40</v>
      </c>
      <c r="K5" s="128">
        <f>J5/$J$7</f>
        <v>0.49382716049382713</v>
      </c>
      <c r="L5" s="197">
        <f>B5+D5+F5+H5+J5</f>
        <v>660</v>
      </c>
      <c r="M5" s="300">
        <f>L5/$L$7</f>
        <v>0.63097514340344163</v>
      </c>
      <c r="N5" s="196">
        <v>13</v>
      </c>
      <c r="O5" s="259">
        <f>N5/$N$7</f>
        <v>0.56521739130434778</v>
      </c>
      <c r="P5" s="301">
        <v>0</v>
      </c>
      <c r="Q5" s="300">
        <v>1</v>
      </c>
      <c r="R5" s="301">
        <f>L5+N5+P5</f>
        <v>673</v>
      </c>
      <c r="S5" s="59">
        <f>R5/$R$7</f>
        <v>0.62956033676333023</v>
      </c>
    </row>
    <row r="6" spans="1:21" s="324" customFormat="1" ht="14.65" thickBot="1" x14ac:dyDescent="0.5">
      <c r="A6" s="49" t="s">
        <v>38</v>
      </c>
      <c r="B6" s="195">
        <v>3</v>
      </c>
      <c r="C6" s="128">
        <f>B6/$B$7</f>
        <v>0.75</v>
      </c>
      <c r="D6" s="196">
        <v>28</v>
      </c>
      <c r="E6" s="128">
        <f>D6/$D$7</f>
        <v>0.26415094339622641</v>
      </c>
      <c r="F6" s="196">
        <v>166</v>
      </c>
      <c r="G6" s="128">
        <f t="shared" ref="G6" si="0">F6/$F$7</f>
        <v>0.33671399594320489</v>
      </c>
      <c r="H6" s="196">
        <v>148</v>
      </c>
      <c r="I6" s="128">
        <f t="shared" ref="I6" si="1">H6/$H$7</f>
        <v>0.40883977900552487</v>
      </c>
      <c r="J6" s="196">
        <v>41</v>
      </c>
      <c r="K6" s="128">
        <f t="shared" ref="K6" si="2">J6/$J$7</f>
        <v>0.50617283950617287</v>
      </c>
      <c r="L6" s="197">
        <f>B6+D6+F6+H6+J6</f>
        <v>386</v>
      </c>
      <c r="M6" s="300">
        <f t="shared" ref="M6" si="3">L6/$L$7</f>
        <v>0.36902485659655831</v>
      </c>
      <c r="N6" s="302">
        <v>10</v>
      </c>
      <c r="O6" s="303">
        <f t="shared" ref="O6" si="4">N6/$N$7</f>
        <v>0.43478260869565216</v>
      </c>
      <c r="P6" s="304">
        <v>0</v>
      </c>
      <c r="Q6" s="305">
        <v>0</v>
      </c>
      <c r="R6" s="304">
        <f>L6+N6+P6</f>
        <v>396</v>
      </c>
      <c r="S6" s="54">
        <f t="shared" ref="S6" si="5">R6/$R$7</f>
        <v>0.37043966323666977</v>
      </c>
    </row>
    <row r="7" spans="1:21" s="26" customFormat="1" ht="14.65" thickBot="1" x14ac:dyDescent="0.5">
      <c r="A7" s="50" t="s">
        <v>2</v>
      </c>
      <c r="B7" s="189">
        <f>SUM(B5:B6)</f>
        <v>4</v>
      </c>
      <c r="C7" s="6">
        <f t="shared" ref="C7:O7" si="6">SUM(C5:C6)</f>
        <v>1</v>
      </c>
      <c r="D7" s="125">
        <f t="shared" si="6"/>
        <v>106</v>
      </c>
      <c r="E7" s="6">
        <f t="shared" si="6"/>
        <v>1</v>
      </c>
      <c r="F7" s="189">
        <f t="shared" si="6"/>
        <v>493</v>
      </c>
      <c r="G7" s="6">
        <f t="shared" si="6"/>
        <v>1</v>
      </c>
      <c r="H7" s="189">
        <f t="shared" si="6"/>
        <v>362</v>
      </c>
      <c r="I7" s="6">
        <f t="shared" si="6"/>
        <v>1</v>
      </c>
      <c r="J7" s="125">
        <f t="shared" si="6"/>
        <v>81</v>
      </c>
      <c r="K7" s="6">
        <f t="shared" si="6"/>
        <v>1</v>
      </c>
      <c r="L7" s="306">
        <f>SUM(L5:L6)</f>
        <v>1046</v>
      </c>
      <c r="M7" s="6">
        <f t="shared" si="6"/>
        <v>1</v>
      </c>
      <c r="N7" s="4">
        <f t="shared" si="6"/>
        <v>23</v>
      </c>
      <c r="O7" s="41">
        <f t="shared" si="6"/>
        <v>1</v>
      </c>
      <c r="P7" s="307">
        <f>SUM(P5:P6)</f>
        <v>0</v>
      </c>
      <c r="Q7" s="308">
        <f>SUM(Q5:Q6)</f>
        <v>1</v>
      </c>
      <c r="R7" s="309">
        <f>L7+N7+P7</f>
        <v>1069</v>
      </c>
      <c r="S7" s="6">
        <f>SUM(S5:S6)</f>
        <v>1</v>
      </c>
    </row>
    <row r="8" spans="1:21" s="324" customFormat="1" ht="14.65" thickBot="1" x14ac:dyDescent="0.5">
      <c r="A8" s="12"/>
      <c r="B8" s="97"/>
      <c r="C8" s="97"/>
      <c r="D8" s="97"/>
      <c r="E8" s="97"/>
      <c r="F8" s="97"/>
      <c r="G8" s="97"/>
      <c r="H8" s="97"/>
      <c r="I8" s="97"/>
      <c r="J8" s="97"/>
    </row>
    <row r="9" spans="1:21" s="324" customFormat="1" ht="14.65" thickBot="1" x14ac:dyDescent="0.5">
      <c r="A9" s="260" t="s">
        <v>45</v>
      </c>
      <c r="B9" s="415">
        <v>0.625</v>
      </c>
      <c r="C9" s="415"/>
      <c r="D9" s="415">
        <v>0.78639999999999999</v>
      </c>
      <c r="E9" s="415"/>
      <c r="F9" s="415">
        <v>0.63300000000000001</v>
      </c>
      <c r="G9" s="415"/>
      <c r="H9" s="415">
        <v>0.59330000000000005</v>
      </c>
      <c r="I9" s="415"/>
      <c r="J9" s="415">
        <v>0.46989999999999998</v>
      </c>
      <c r="K9" s="415"/>
      <c r="L9" s="415">
        <v>0.62450000000000006</v>
      </c>
      <c r="M9" s="415"/>
      <c r="N9" s="415">
        <v>0.52380000000000004</v>
      </c>
      <c r="O9" s="415"/>
      <c r="P9" s="407" t="s">
        <v>156</v>
      </c>
      <c r="Q9" s="408"/>
      <c r="R9" s="416">
        <v>0.62239999999999995</v>
      </c>
      <c r="S9" s="416"/>
    </row>
    <row r="10" spans="1:21" s="324" customFormat="1" ht="14.65" thickBot="1" x14ac:dyDescent="0.5">
      <c r="A10" s="204" t="s">
        <v>193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21" s="324" customFormat="1" x14ac:dyDescent="0.45">
      <c r="B11" s="97"/>
      <c r="C11" s="97"/>
      <c r="D11" s="97"/>
      <c r="E11" s="97"/>
      <c r="F11" s="97"/>
      <c r="G11" s="97"/>
      <c r="H11" s="97"/>
      <c r="I11" s="97"/>
    </row>
    <row r="12" spans="1:21" s="324" customFormat="1" x14ac:dyDescent="0.45">
      <c r="A12" s="9" t="s">
        <v>144</v>
      </c>
      <c r="B12" s="97"/>
      <c r="C12" s="97"/>
      <c r="D12" s="97"/>
      <c r="E12" s="97"/>
      <c r="F12" s="97"/>
      <c r="G12" s="97"/>
      <c r="H12" s="97"/>
      <c r="I12" s="97"/>
    </row>
    <row r="13" spans="1:21" x14ac:dyDescent="0.45">
      <c r="A13" s="9" t="s">
        <v>152</v>
      </c>
      <c r="B13" s="97"/>
      <c r="C13" s="97"/>
      <c r="D13" s="97"/>
      <c r="E13" s="97"/>
      <c r="F13" s="97"/>
      <c r="G13" s="97"/>
      <c r="H13" s="97"/>
      <c r="I13" s="97"/>
      <c r="J13" s="97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</row>
    <row r="14" spans="1:21" x14ac:dyDescent="0.45">
      <c r="B14" s="97"/>
      <c r="C14" s="97"/>
      <c r="D14" s="97"/>
      <c r="E14" s="97"/>
      <c r="F14" s="97"/>
      <c r="G14" s="97"/>
      <c r="H14" s="97"/>
      <c r="I14" s="97"/>
      <c r="J14" s="97"/>
    </row>
    <row r="15" spans="1:21" x14ac:dyDescent="0.45">
      <c r="B15" s="97"/>
      <c r="C15" s="97"/>
      <c r="D15" s="97"/>
      <c r="E15" s="97"/>
      <c r="F15" s="97"/>
      <c r="G15" s="97"/>
      <c r="H15" s="97"/>
      <c r="I15" s="97"/>
      <c r="J15" s="97"/>
    </row>
    <row r="16" spans="1:21" x14ac:dyDescent="0.45">
      <c r="B16" s="97"/>
      <c r="C16" s="97"/>
      <c r="D16" s="97"/>
      <c r="E16" s="97"/>
      <c r="F16" s="97"/>
      <c r="G16" s="97"/>
      <c r="H16" s="97"/>
      <c r="I16" s="97"/>
      <c r="J16" s="97"/>
    </row>
    <row r="17" spans="2:10" x14ac:dyDescent="0.45">
      <c r="B17" s="97"/>
      <c r="C17" s="97"/>
      <c r="D17" s="97"/>
      <c r="E17" s="97"/>
      <c r="F17" s="97"/>
      <c r="G17" s="97"/>
      <c r="H17" s="97"/>
      <c r="I17" s="97"/>
      <c r="J17" s="97"/>
    </row>
    <row r="18" spans="2:10" x14ac:dyDescent="0.45">
      <c r="B18" s="97"/>
      <c r="C18" s="97"/>
      <c r="D18" s="97"/>
      <c r="E18" s="97"/>
      <c r="F18" s="97"/>
      <c r="G18" s="97"/>
      <c r="H18" s="97"/>
      <c r="I18" s="97"/>
      <c r="J18" s="97"/>
    </row>
    <row r="19" spans="2:10" x14ac:dyDescent="0.45">
      <c r="B19" s="97"/>
      <c r="C19" s="97"/>
      <c r="D19" s="97"/>
      <c r="E19" s="97"/>
      <c r="F19" s="97"/>
      <c r="G19" s="97"/>
      <c r="H19" s="97"/>
      <c r="I19" s="97"/>
      <c r="J19" s="97"/>
    </row>
    <row r="20" spans="2:10" x14ac:dyDescent="0.45">
      <c r="B20" s="97"/>
      <c r="C20" s="97"/>
      <c r="D20" s="97"/>
      <c r="E20" s="97"/>
      <c r="F20" s="97"/>
      <c r="G20" s="97"/>
      <c r="H20" s="97"/>
      <c r="I20" s="97"/>
      <c r="J20" s="97"/>
    </row>
    <row r="21" spans="2:10" x14ac:dyDescent="0.45">
      <c r="B21" s="97"/>
      <c r="C21" s="97"/>
      <c r="D21" s="97"/>
      <c r="E21" s="97"/>
      <c r="F21" s="97"/>
      <c r="G21" s="97"/>
      <c r="H21" s="97"/>
      <c r="I21" s="97"/>
      <c r="J21" s="97"/>
    </row>
    <row r="22" spans="2:10" x14ac:dyDescent="0.45">
      <c r="B22" s="97"/>
      <c r="C22" s="97"/>
      <c r="D22" s="97"/>
      <c r="E22" s="97"/>
      <c r="F22" s="97"/>
      <c r="G22" s="97"/>
      <c r="H22" s="97"/>
      <c r="I22" s="97"/>
      <c r="J22" s="97"/>
    </row>
  </sheetData>
  <mergeCells count="19">
    <mergeCell ref="A1:D1"/>
    <mergeCell ref="L3:M3"/>
    <mergeCell ref="B3:C3"/>
    <mergeCell ref="D3:E3"/>
    <mergeCell ref="F3:G3"/>
    <mergeCell ref="H3:I3"/>
    <mergeCell ref="J3:K3"/>
    <mergeCell ref="N3:O3"/>
    <mergeCell ref="P3:Q3"/>
    <mergeCell ref="R3:S3"/>
    <mergeCell ref="B9:C9"/>
    <mergeCell ref="P9:Q9"/>
    <mergeCell ref="N9:O9"/>
    <mergeCell ref="L9:M9"/>
    <mergeCell ref="J9:K9"/>
    <mergeCell ref="H9:I9"/>
    <mergeCell ref="F9:G9"/>
    <mergeCell ref="D9:E9"/>
    <mergeCell ref="R9:S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23"/>
  <sheetViews>
    <sheetView workbookViewId="0">
      <selection sqref="A1:D1"/>
    </sheetView>
  </sheetViews>
  <sheetFormatPr defaultRowHeight="14.25" x14ac:dyDescent="0.45"/>
  <cols>
    <col min="1" max="1" width="18.1328125" customWidth="1"/>
    <col min="2" max="2" width="11.1328125" customWidth="1"/>
    <col min="3" max="3" width="9.265625" customWidth="1"/>
    <col min="4" max="4" width="11.265625" customWidth="1"/>
    <col min="5" max="5" width="9.86328125" customWidth="1"/>
    <col min="12" max="23" width="9.1328125" style="383"/>
    <col min="24" max="24" width="9.3984375" customWidth="1"/>
    <col min="25" max="25" width="9.86328125" customWidth="1"/>
  </cols>
  <sheetData>
    <row r="1" spans="1:25" s="324" customFormat="1" x14ac:dyDescent="0.45">
      <c r="A1" s="400" t="s">
        <v>205</v>
      </c>
      <c r="B1" s="400"/>
      <c r="C1" s="400"/>
      <c r="D1" s="400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5" s="324" customFormat="1" ht="14.65" thickBot="1" x14ac:dyDescent="0.5"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5" s="1" customFormat="1" ht="30" customHeight="1" thickBot="1" x14ac:dyDescent="0.5">
      <c r="A3" s="77" t="s">
        <v>0</v>
      </c>
      <c r="B3" s="403" t="s">
        <v>150</v>
      </c>
      <c r="C3" s="404"/>
      <c r="D3" s="404" t="s">
        <v>171</v>
      </c>
      <c r="E3" s="404"/>
      <c r="F3" s="421" t="s">
        <v>172</v>
      </c>
      <c r="G3" s="422"/>
      <c r="H3" s="421" t="s">
        <v>66</v>
      </c>
      <c r="I3" s="422"/>
      <c r="J3" s="421" t="s">
        <v>173</v>
      </c>
      <c r="K3" s="423"/>
      <c r="L3" s="424" t="s">
        <v>50</v>
      </c>
      <c r="M3" s="424"/>
      <c r="N3" s="424" t="s">
        <v>174</v>
      </c>
      <c r="O3" s="424"/>
      <c r="P3" s="424" t="s">
        <v>145</v>
      </c>
      <c r="Q3" s="424"/>
      <c r="R3" s="424" t="s">
        <v>175</v>
      </c>
      <c r="S3" s="424"/>
      <c r="T3" s="424" t="s">
        <v>176</v>
      </c>
      <c r="U3" s="424"/>
      <c r="V3" s="424" t="s">
        <v>177</v>
      </c>
      <c r="W3" s="425"/>
      <c r="X3" s="75" t="s">
        <v>2</v>
      </c>
      <c r="Y3" s="76" t="s">
        <v>3</v>
      </c>
    </row>
    <row r="4" spans="1:25" s="1" customFormat="1" ht="28.9" thickBot="1" x14ac:dyDescent="0.5">
      <c r="A4" s="23" t="s">
        <v>1</v>
      </c>
      <c r="B4" s="121" t="s">
        <v>4</v>
      </c>
      <c r="C4" s="122" t="s">
        <v>39</v>
      </c>
      <c r="D4" s="122" t="s">
        <v>4</v>
      </c>
      <c r="E4" s="122" t="s">
        <v>39</v>
      </c>
      <c r="F4" s="122" t="s">
        <v>4</v>
      </c>
      <c r="G4" s="122" t="s">
        <v>39</v>
      </c>
      <c r="H4" s="122" t="s">
        <v>4</v>
      </c>
      <c r="I4" s="122" t="s">
        <v>39</v>
      </c>
      <c r="J4" s="122" t="s">
        <v>4</v>
      </c>
      <c r="K4" s="122" t="s">
        <v>39</v>
      </c>
      <c r="L4" s="122" t="s">
        <v>4</v>
      </c>
      <c r="M4" s="122" t="s">
        <v>39</v>
      </c>
      <c r="N4" s="122" t="s">
        <v>4</v>
      </c>
      <c r="O4" s="122" t="s">
        <v>39</v>
      </c>
      <c r="P4" s="122" t="s">
        <v>4</v>
      </c>
      <c r="Q4" s="122" t="s">
        <v>39</v>
      </c>
      <c r="R4" s="122" t="s">
        <v>4</v>
      </c>
      <c r="S4" s="122" t="s">
        <v>39</v>
      </c>
      <c r="T4" s="122" t="s">
        <v>4</v>
      </c>
      <c r="U4" s="122" t="s">
        <v>39</v>
      </c>
      <c r="V4" s="122" t="s">
        <v>4</v>
      </c>
      <c r="W4" s="122" t="s">
        <v>39</v>
      </c>
      <c r="X4" s="44" t="s">
        <v>4</v>
      </c>
      <c r="Y4" s="8" t="s">
        <v>39</v>
      </c>
    </row>
    <row r="5" spans="1:25" s="324" customFormat="1" ht="14.65" thickBot="1" x14ac:dyDescent="0.5">
      <c r="A5" s="24" t="s">
        <v>37</v>
      </c>
      <c r="B5" s="180">
        <v>13</v>
      </c>
      <c r="C5" s="123">
        <f>B5/$B$7</f>
        <v>0.72222222222222221</v>
      </c>
      <c r="D5" s="180">
        <v>46</v>
      </c>
      <c r="E5" s="123">
        <f>D5/$D$7</f>
        <v>0.48936170212765956</v>
      </c>
      <c r="F5" s="180">
        <v>12</v>
      </c>
      <c r="G5" s="123">
        <f>F5/$F$7</f>
        <v>0.54545454545454541</v>
      </c>
      <c r="H5" s="180">
        <v>25</v>
      </c>
      <c r="I5" s="123">
        <f>H5/$H$7</f>
        <v>0.4098360655737705</v>
      </c>
      <c r="J5" s="180">
        <v>25</v>
      </c>
      <c r="K5" s="123">
        <f>J5/$J$7</f>
        <v>0.43859649122807015</v>
      </c>
      <c r="L5" s="180">
        <v>30</v>
      </c>
      <c r="M5" s="123">
        <f>L5/$L$7</f>
        <v>0.75</v>
      </c>
      <c r="N5" s="180">
        <v>106</v>
      </c>
      <c r="O5" s="123">
        <f>N5/$N$7</f>
        <v>0.71621621621621623</v>
      </c>
      <c r="P5" s="180">
        <v>63</v>
      </c>
      <c r="Q5" s="123">
        <f>P5/$P$7</f>
        <v>0.72413793103448276</v>
      </c>
      <c r="R5" s="180">
        <v>224</v>
      </c>
      <c r="S5" s="123">
        <f>R5/$R$7</f>
        <v>0.63636363636363635</v>
      </c>
      <c r="T5" s="180">
        <v>1</v>
      </c>
      <c r="U5" s="123">
        <f>T5/$T$7</f>
        <v>0.5</v>
      </c>
      <c r="V5" s="180">
        <v>128</v>
      </c>
      <c r="W5" s="123">
        <f>V5/$V$7</f>
        <v>0.68085106382978722</v>
      </c>
      <c r="X5" s="384">
        <f>B5+D5+F5+H5+J5+L5+N5+P5+R5+T5+V5</f>
        <v>673</v>
      </c>
      <c r="Y5" s="385">
        <f>X5/$X$7</f>
        <v>0.62956033676333023</v>
      </c>
    </row>
    <row r="6" spans="1:25" s="324" customFormat="1" ht="14.65" thickBot="1" x14ac:dyDescent="0.5">
      <c r="A6" s="25" t="s">
        <v>38</v>
      </c>
      <c r="B6" s="191">
        <v>5</v>
      </c>
      <c r="C6" s="124">
        <f>B6/$B$7</f>
        <v>0.27777777777777779</v>
      </c>
      <c r="D6" s="191">
        <v>48</v>
      </c>
      <c r="E6" s="124">
        <f>D6/$D$7</f>
        <v>0.51063829787234039</v>
      </c>
      <c r="F6" s="191">
        <v>10</v>
      </c>
      <c r="G6" s="124">
        <f>F6/$F$7</f>
        <v>0.45454545454545453</v>
      </c>
      <c r="H6" s="191">
        <v>36</v>
      </c>
      <c r="I6" s="124">
        <f>H6/$H$7</f>
        <v>0.5901639344262295</v>
      </c>
      <c r="J6" s="191">
        <v>32</v>
      </c>
      <c r="K6" s="124">
        <f>J6/$J$7</f>
        <v>0.56140350877192979</v>
      </c>
      <c r="L6" s="191">
        <v>10</v>
      </c>
      <c r="M6" s="123">
        <f>L6/$L$7</f>
        <v>0.25</v>
      </c>
      <c r="N6" s="191">
        <v>42</v>
      </c>
      <c r="O6" s="123">
        <f>N6/$N$7</f>
        <v>0.28378378378378377</v>
      </c>
      <c r="P6" s="191">
        <v>24</v>
      </c>
      <c r="Q6" s="123">
        <f>P6/$P$7</f>
        <v>0.27586206896551724</v>
      </c>
      <c r="R6" s="191">
        <v>128</v>
      </c>
      <c r="S6" s="123">
        <f>R6/$R$7</f>
        <v>0.36363636363636365</v>
      </c>
      <c r="T6" s="191">
        <v>1</v>
      </c>
      <c r="U6" s="123">
        <f>T6/$T$7</f>
        <v>0.5</v>
      </c>
      <c r="V6" s="191">
        <v>60</v>
      </c>
      <c r="W6" s="123">
        <f>V6/$V$7</f>
        <v>0.31914893617021278</v>
      </c>
      <c r="X6" s="45">
        <f>B6+D6+F6+H6+J6+L6+N6+P6+R6+T6+V6</f>
        <v>396</v>
      </c>
      <c r="Y6" s="386">
        <f>X6/$X$7</f>
        <v>0.37043966323666977</v>
      </c>
    </row>
    <row r="7" spans="1:25" s="324" customFormat="1" ht="14.65" thickBot="1" x14ac:dyDescent="0.5">
      <c r="A7" s="19" t="s">
        <v>2</v>
      </c>
      <c r="B7" s="125">
        <f>SUM(B5:B6)</f>
        <v>18</v>
      </c>
      <c r="C7" s="126">
        <f>B7/$B$7</f>
        <v>1</v>
      </c>
      <c r="D7" s="127">
        <f>SUM(D5:D6)</f>
        <v>94</v>
      </c>
      <c r="E7" s="126">
        <f>D7/$D$7</f>
        <v>1</v>
      </c>
      <c r="F7" s="127">
        <f>SUM(F5:F6)</f>
        <v>22</v>
      </c>
      <c r="G7" s="199">
        <f>F7/$F$7</f>
        <v>1</v>
      </c>
      <c r="H7" s="200">
        <f>SUM(H5:H6)</f>
        <v>61</v>
      </c>
      <c r="I7" s="199">
        <f>H7/$H$7</f>
        <v>1</v>
      </c>
      <c r="J7" s="200">
        <f>SUM(J5:J6)</f>
        <v>57</v>
      </c>
      <c r="K7" s="126">
        <f>J7/$J$7</f>
        <v>1</v>
      </c>
      <c r="L7" s="200">
        <f>SUM(L5:L6)</f>
        <v>40</v>
      </c>
      <c r="M7" s="126">
        <f>L7/$L$7</f>
        <v>1</v>
      </c>
      <c r="N7" s="200">
        <f>SUM(N5:N6)</f>
        <v>148</v>
      </c>
      <c r="O7" s="126">
        <f>N7/$N$7</f>
        <v>1</v>
      </c>
      <c r="P7" s="200">
        <f>SUM(P5:P6)</f>
        <v>87</v>
      </c>
      <c r="Q7" s="126">
        <f>P7/$P$7</f>
        <v>1</v>
      </c>
      <c r="R7" s="200">
        <f>SUM(R5:R6)</f>
        <v>352</v>
      </c>
      <c r="S7" s="126">
        <f>R7/$R$7</f>
        <v>1</v>
      </c>
      <c r="T7" s="200">
        <f>SUM(T5:T6)</f>
        <v>2</v>
      </c>
      <c r="U7" s="126">
        <f>T7/$T$7</f>
        <v>1</v>
      </c>
      <c r="V7" s="200">
        <f>SUM(V5:V6)</f>
        <v>188</v>
      </c>
      <c r="W7" s="126">
        <f>V7/$V$7</f>
        <v>1</v>
      </c>
      <c r="X7" s="71">
        <f>B7+D7+F7+H7+J7+L7+N7+P7+R7+T7+V7</f>
        <v>1069</v>
      </c>
      <c r="Y7" s="171">
        <f>X7/$X$7</f>
        <v>1</v>
      </c>
    </row>
    <row r="8" spans="1:25" s="324" customFormat="1" x14ac:dyDescent="0.45">
      <c r="A8" s="163"/>
      <c r="B8" s="143"/>
      <c r="C8" s="164"/>
      <c r="D8" s="143"/>
      <c r="E8" s="164"/>
      <c r="F8" s="143"/>
      <c r="G8" s="164"/>
      <c r="H8" s="143"/>
      <c r="I8" s="165"/>
      <c r="J8" s="143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7"/>
      <c r="Y8" s="165"/>
    </row>
    <row r="9" spans="1:25" s="324" customFormat="1" x14ac:dyDescent="0.45">
      <c r="B9" s="97"/>
      <c r="C9" s="97"/>
      <c r="D9" s="97"/>
      <c r="E9" s="97"/>
      <c r="F9" s="97"/>
      <c r="G9" s="97"/>
      <c r="H9" s="97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</row>
    <row r="10" spans="1:25" s="324" customFormat="1" x14ac:dyDescent="0.45">
      <c r="A10" s="9" t="s">
        <v>144</v>
      </c>
      <c r="B10" s="97"/>
      <c r="C10" s="97"/>
      <c r="D10" s="97"/>
      <c r="E10" s="97"/>
      <c r="F10" s="97"/>
      <c r="G10" s="97"/>
      <c r="H10" s="97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</row>
    <row r="11" spans="1:25" s="324" customFormat="1" x14ac:dyDescent="0.45">
      <c r="B11" s="97"/>
      <c r="C11" s="97"/>
      <c r="D11" s="97"/>
      <c r="E11" s="97"/>
      <c r="F11" s="97"/>
      <c r="G11" s="97"/>
      <c r="H11" s="97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</row>
    <row r="12" spans="1:25" x14ac:dyDescent="0.45">
      <c r="A12" s="298"/>
      <c r="B12" s="97"/>
      <c r="C12" s="97"/>
      <c r="D12" s="97"/>
      <c r="E12" s="97"/>
      <c r="F12" s="97"/>
      <c r="G12" s="97"/>
      <c r="H12" s="97"/>
      <c r="I12" s="298"/>
      <c r="J12" s="298"/>
      <c r="K12" s="298"/>
      <c r="X12" s="298"/>
      <c r="Y12" s="298"/>
    </row>
    <row r="13" spans="1:25" x14ac:dyDescent="0.45">
      <c r="A13" s="298"/>
      <c r="B13" s="97"/>
      <c r="C13" s="97"/>
      <c r="D13" s="97"/>
      <c r="E13" s="97"/>
      <c r="F13" s="97"/>
      <c r="G13" s="97"/>
      <c r="H13" s="97"/>
      <c r="I13" s="298"/>
      <c r="J13" s="298"/>
      <c r="K13" s="298"/>
      <c r="X13" s="298"/>
      <c r="Y13" s="298"/>
    </row>
    <row r="14" spans="1:25" x14ac:dyDescent="0.45">
      <c r="B14" s="97"/>
      <c r="C14" s="97"/>
      <c r="D14" s="97"/>
      <c r="E14" s="97"/>
      <c r="F14" s="97"/>
      <c r="G14" s="97"/>
      <c r="H14" s="97"/>
    </row>
    <row r="15" spans="1:25" x14ac:dyDescent="0.45">
      <c r="B15" s="97"/>
      <c r="C15" s="97"/>
      <c r="D15" s="97"/>
      <c r="E15" s="97"/>
      <c r="F15" s="97"/>
      <c r="G15" s="97"/>
      <c r="H15" s="97"/>
    </row>
    <row r="16" spans="1:25" x14ac:dyDescent="0.45">
      <c r="B16" s="97"/>
      <c r="C16" s="97"/>
      <c r="D16" s="97"/>
      <c r="E16" s="97"/>
      <c r="F16" s="97"/>
      <c r="G16" s="97"/>
      <c r="H16" s="97"/>
    </row>
    <row r="17" spans="2:8" x14ac:dyDescent="0.45">
      <c r="B17" s="97"/>
      <c r="C17" s="97"/>
      <c r="D17" s="97"/>
      <c r="E17" s="97"/>
      <c r="F17" s="97"/>
      <c r="G17" s="97"/>
      <c r="H17" s="97"/>
    </row>
    <row r="18" spans="2:8" x14ac:dyDescent="0.45">
      <c r="B18" s="97"/>
      <c r="C18" s="97"/>
      <c r="D18" s="97"/>
      <c r="E18" s="97"/>
      <c r="F18" s="97"/>
      <c r="G18" s="97"/>
      <c r="H18" s="97"/>
    </row>
    <row r="19" spans="2:8" x14ac:dyDescent="0.45">
      <c r="B19" s="97"/>
      <c r="C19" s="97"/>
      <c r="D19" s="97"/>
      <c r="E19" s="97"/>
      <c r="F19" s="97"/>
      <c r="G19" s="97"/>
      <c r="H19" s="97"/>
    </row>
    <row r="20" spans="2:8" x14ac:dyDescent="0.45">
      <c r="B20" s="97"/>
      <c r="C20" s="97"/>
      <c r="D20" s="97"/>
      <c r="E20" s="97"/>
      <c r="F20" s="97"/>
      <c r="G20" s="97"/>
      <c r="H20" s="97"/>
    </row>
    <row r="21" spans="2:8" x14ac:dyDescent="0.45">
      <c r="B21" s="97"/>
      <c r="C21" s="97"/>
      <c r="D21" s="97"/>
      <c r="E21" s="97"/>
      <c r="F21" s="97"/>
      <c r="G21" s="97"/>
      <c r="H21" s="97"/>
    </row>
    <row r="22" spans="2:8" x14ac:dyDescent="0.45">
      <c r="B22" s="97"/>
      <c r="C22" s="97"/>
      <c r="D22" s="97"/>
      <c r="E22" s="97"/>
      <c r="F22" s="97"/>
      <c r="G22" s="97"/>
      <c r="H22" s="97"/>
    </row>
    <row r="23" spans="2:8" x14ac:dyDescent="0.45">
      <c r="B23" s="97"/>
      <c r="C23" s="97"/>
      <c r="D23" s="97"/>
      <c r="E23" s="97"/>
      <c r="F23" s="97"/>
      <c r="G23" s="97"/>
      <c r="H23" s="97"/>
    </row>
  </sheetData>
  <mergeCells count="12">
    <mergeCell ref="T3:U3"/>
    <mergeCell ref="V3:W3"/>
    <mergeCell ref="L3:M3"/>
    <mergeCell ref="N3:O3"/>
    <mergeCell ref="P3:Q3"/>
    <mergeCell ref="R3:S3"/>
    <mergeCell ref="H3:I3"/>
    <mergeCell ref="J3:K3"/>
    <mergeCell ref="A1:D1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S15"/>
  <sheetViews>
    <sheetView topLeftCell="D1" workbookViewId="0">
      <selection activeCell="L5" sqref="L5"/>
    </sheetView>
  </sheetViews>
  <sheetFormatPr defaultRowHeight="14.25" x14ac:dyDescent="0.45"/>
  <cols>
    <col min="1" max="1" width="18.3984375" customWidth="1"/>
    <col min="2" max="19" width="9.86328125" customWidth="1"/>
  </cols>
  <sheetData>
    <row r="1" spans="1:19" s="324" customFormat="1" x14ac:dyDescent="0.45">
      <c r="A1" s="400" t="s">
        <v>206</v>
      </c>
      <c r="B1" s="400"/>
      <c r="C1" s="400"/>
      <c r="D1" s="400"/>
    </row>
    <row r="2" spans="1:19" s="324" customFormat="1" ht="14.65" thickBot="1" x14ac:dyDescent="0.5"/>
    <row r="3" spans="1:19" s="324" customFormat="1" ht="14.65" thickBot="1" x14ac:dyDescent="0.5">
      <c r="A3" s="36" t="s">
        <v>0</v>
      </c>
      <c r="B3" s="428" t="s">
        <v>31</v>
      </c>
      <c r="C3" s="426"/>
      <c r="D3" s="426" t="s">
        <v>32</v>
      </c>
      <c r="E3" s="426"/>
      <c r="F3" s="429" t="s">
        <v>54</v>
      </c>
      <c r="G3" s="430"/>
      <c r="H3" s="429" t="s">
        <v>153</v>
      </c>
      <c r="I3" s="430"/>
      <c r="J3" s="426" t="s">
        <v>33</v>
      </c>
      <c r="K3" s="426"/>
      <c r="L3" s="426" t="s">
        <v>34</v>
      </c>
      <c r="M3" s="426"/>
      <c r="N3" s="426" t="s">
        <v>35</v>
      </c>
      <c r="O3" s="426"/>
      <c r="P3" s="426" t="s">
        <v>36</v>
      </c>
      <c r="Q3" s="427"/>
      <c r="R3" s="42" t="s">
        <v>2</v>
      </c>
      <c r="S3" s="43" t="s">
        <v>3</v>
      </c>
    </row>
    <row r="4" spans="1:19" s="324" customFormat="1" ht="28.9" thickBot="1" x14ac:dyDescent="0.5">
      <c r="A4" s="12" t="s">
        <v>1</v>
      </c>
      <c r="B4" s="310" t="s">
        <v>4</v>
      </c>
      <c r="C4" s="326" t="s">
        <v>39</v>
      </c>
      <c r="D4" s="326" t="s">
        <v>4</v>
      </c>
      <c r="E4" s="326" t="s">
        <v>39</v>
      </c>
      <c r="F4" s="326" t="s">
        <v>4</v>
      </c>
      <c r="G4" s="326" t="s">
        <v>39</v>
      </c>
      <c r="H4" s="326" t="s">
        <v>4</v>
      </c>
      <c r="I4" s="326" t="s">
        <v>39</v>
      </c>
      <c r="J4" s="326" t="s">
        <v>4</v>
      </c>
      <c r="K4" s="326" t="s">
        <v>39</v>
      </c>
      <c r="L4" s="326" t="s">
        <v>4</v>
      </c>
      <c r="M4" s="326" t="s">
        <v>39</v>
      </c>
      <c r="N4" s="326" t="s">
        <v>4</v>
      </c>
      <c r="O4" s="326" t="s">
        <v>39</v>
      </c>
      <c r="P4" s="326" t="s">
        <v>4</v>
      </c>
      <c r="Q4" s="327" t="s">
        <v>39</v>
      </c>
      <c r="R4" s="328" t="s">
        <v>4</v>
      </c>
      <c r="S4" s="329" t="s">
        <v>39</v>
      </c>
    </row>
    <row r="5" spans="1:19" s="324" customFormat="1" ht="14.65" thickBot="1" x14ac:dyDescent="0.5">
      <c r="A5" s="24" t="s">
        <v>37</v>
      </c>
      <c r="B5" s="180">
        <v>113</v>
      </c>
      <c r="C5" s="123">
        <f>B5/$B$7</f>
        <v>0.68484848484848482</v>
      </c>
      <c r="D5" s="180">
        <v>77</v>
      </c>
      <c r="E5" s="123">
        <f>D5/$D$7</f>
        <v>0.58778625954198471</v>
      </c>
      <c r="F5" s="180">
        <v>63</v>
      </c>
      <c r="G5" s="123">
        <f>F5/$F$7</f>
        <v>0.71590909090909094</v>
      </c>
      <c r="H5" s="180">
        <v>155</v>
      </c>
      <c r="I5" s="123">
        <f>H5/$H$7</f>
        <v>0.64049586776859502</v>
      </c>
      <c r="J5" s="180">
        <v>12</v>
      </c>
      <c r="K5" s="123">
        <f>J5/$J$7</f>
        <v>0.8571428571428571</v>
      </c>
      <c r="L5" s="180">
        <v>153</v>
      </c>
      <c r="M5" s="123">
        <f>L5/$L$7</f>
        <v>0.62195121951219512</v>
      </c>
      <c r="N5" s="180">
        <v>59</v>
      </c>
      <c r="O5" s="123">
        <f>N5/$N$7</f>
        <v>0.60204081632653061</v>
      </c>
      <c r="P5" s="180">
        <v>41</v>
      </c>
      <c r="Q5" s="39">
        <f>P5/$P$7</f>
        <v>0.4823529411764706</v>
      </c>
      <c r="R5" s="45">
        <f>B5+D5+F5+H5+J5+L5+N5+P5</f>
        <v>673</v>
      </c>
      <c r="S5" s="2">
        <f>R5/$R$7</f>
        <v>0.62956033676333023</v>
      </c>
    </row>
    <row r="6" spans="1:19" s="324" customFormat="1" ht="14.65" thickBot="1" x14ac:dyDescent="0.5">
      <c r="A6" s="25" t="s">
        <v>38</v>
      </c>
      <c r="B6" s="191">
        <v>52</v>
      </c>
      <c r="C6" s="124">
        <f>B6/$B$7</f>
        <v>0.31515151515151513</v>
      </c>
      <c r="D6" s="191">
        <v>54</v>
      </c>
      <c r="E6" s="124">
        <f>D6/$D$7</f>
        <v>0.41221374045801529</v>
      </c>
      <c r="F6" s="191">
        <v>25</v>
      </c>
      <c r="G6" s="124">
        <f t="shared" ref="G6:G7" si="0">F6/$F$7</f>
        <v>0.28409090909090912</v>
      </c>
      <c r="H6" s="191">
        <v>87</v>
      </c>
      <c r="I6" s="124">
        <f t="shared" ref="I6:I7" si="1">H6/$H$7</f>
        <v>0.35950413223140498</v>
      </c>
      <c r="J6" s="191">
        <v>2</v>
      </c>
      <c r="K6" s="124">
        <f t="shared" ref="K6:K7" si="2">J6/$J$7</f>
        <v>0.14285714285714285</v>
      </c>
      <c r="L6" s="191">
        <v>93</v>
      </c>
      <c r="M6" s="124">
        <f t="shared" ref="M6:M7" si="3">L6/$L$7</f>
        <v>0.37804878048780488</v>
      </c>
      <c r="N6" s="191">
        <v>39</v>
      </c>
      <c r="O6" s="124">
        <f t="shared" ref="O6:O7" si="4">N6/$N$7</f>
        <v>0.39795918367346939</v>
      </c>
      <c r="P6" s="191">
        <v>44</v>
      </c>
      <c r="Q6" s="40">
        <f t="shared" ref="Q6:Q7" si="5">P6/$P$7</f>
        <v>0.51764705882352946</v>
      </c>
      <c r="R6" s="330">
        <f>B6+D6+F6+H6+J6+L6+N6+P6</f>
        <v>396</v>
      </c>
      <c r="S6" s="3">
        <f t="shared" ref="S6:S7" si="6">R6/$R$7</f>
        <v>0.37043966323666977</v>
      </c>
    </row>
    <row r="7" spans="1:19" s="324" customFormat="1" ht="14.65" thickBot="1" x14ac:dyDescent="0.5">
      <c r="A7" s="331" t="s">
        <v>2</v>
      </c>
      <c r="B7" s="311">
        <f>SUM(B5:B6)</f>
        <v>165</v>
      </c>
      <c r="C7" s="332">
        <f>B7/$B$7</f>
        <v>1</v>
      </c>
      <c r="D7" s="333">
        <f>SUM(D5:D6)</f>
        <v>131</v>
      </c>
      <c r="E7" s="332">
        <f>D7/$D$7</f>
        <v>1</v>
      </c>
      <c r="F7" s="333">
        <f>SUM(F5:F6)</f>
        <v>88</v>
      </c>
      <c r="G7" s="332">
        <f t="shared" si="0"/>
        <v>1</v>
      </c>
      <c r="H7" s="333">
        <f>SUM(H5:H6)</f>
        <v>242</v>
      </c>
      <c r="I7" s="332">
        <f t="shared" si="1"/>
        <v>1</v>
      </c>
      <c r="J7" s="333">
        <f>SUM(J5:J6)</f>
        <v>14</v>
      </c>
      <c r="K7" s="332">
        <f t="shared" si="2"/>
        <v>1</v>
      </c>
      <c r="L7" s="333">
        <f>SUM(L5:L6)</f>
        <v>246</v>
      </c>
      <c r="M7" s="332">
        <f t="shared" si="3"/>
        <v>1</v>
      </c>
      <c r="N7" s="333">
        <f>SUM(N5:N6)</f>
        <v>98</v>
      </c>
      <c r="O7" s="332">
        <f t="shared" si="4"/>
        <v>1</v>
      </c>
      <c r="P7" s="333">
        <f>SUM(P5:P6)</f>
        <v>85</v>
      </c>
      <c r="Q7" s="334">
        <f t="shared" si="5"/>
        <v>1</v>
      </c>
      <c r="R7" s="335">
        <f>SUM(R5:R6)</f>
        <v>1069</v>
      </c>
      <c r="S7" s="336">
        <f t="shared" si="6"/>
        <v>1</v>
      </c>
    </row>
    <row r="8" spans="1:19" s="324" customFormat="1" ht="14.65" thickBot="1" x14ac:dyDescent="0.5">
      <c r="A8" s="82"/>
    </row>
    <row r="9" spans="1:19" s="97" customFormat="1" ht="14.65" thickBot="1" x14ac:dyDescent="0.5">
      <c r="A9" s="156" t="s">
        <v>45</v>
      </c>
      <c r="B9" s="407">
        <v>0.70320000000000005</v>
      </c>
      <c r="C9" s="408"/>
      <c r="D9" s="407">
        <v>0.59319999999999995</v>
      </c>
      <c r="E9" s="408"/>
      <c r="F9" s="407">
        <v>0.66669999999999996</v>
      </c>
      <c r="G9" s="408"/>
      <c r="H9" s="407">
        <v>0.62350000000000005</v>
      </c>
      <c r="I9" s="408"/>
      <c r="J9" s="407">
        <v>0.90910000000000002</v>
      </c>
      <c r="K9" s="408"/>
      <c r="L9" s="407">
        <v>0.61970000000000003</v>
      </c>
      <c r="M9" s="408"/>
      <c r="N9" s="407">
        <v>0.59379999999999999</v>
      </c>
      <c r="O9" s="408"/>
      <c r="P9" s="407">
        <v>0.46910000000000002</v>
      </c>
      <c r="Q9" s="408"/>
      <c r="R9" s="407">
        <v>0.62239999999999995</v>
      </c>
      <c r="S9" s="408"/>
    </row>
    <row r="10" spans="1:19" s="97" customFormat="1" ht="14.65" thickBot="1" x14ac:dyDescent="0.5">
      <c r="A10" s="204" t="s">
        <v>193</v>
      </c>
    </row>
    <row r="11" spans="1:19" s="324" customFormat="1" x14ac:dyDescent="0.45"/>
    <row r="12" spans="1:19" s="324" customFormat="1" x14ac:dyDescent="0.45"/>
    <row r="13" spans="1:19" s="324" customFormat="1" x14ac:dyDescent="0.45">
      <c r="A13" s="9" t="s">
        <v>144</v>
      </c>
    </row>
    <row r="14" spans="1:19" s="324" customFormat="1" x14ac:dyDescent="0.45">
      <c r="A14" s="9"/>
    </row>
    <row r="15" spans="1:19" x14ac:dyDescent="0.45">
      <c r="A15" s="298"/>
      <c r="B15" s="298"/>
      <c r="C15" s="312"/>
      <c r="D15" s="298"/>
      <c r="E15" s="312"/>
      <c r="F15" s="298"/>
      <c r="G15" s="312"/>
      <c r="H15" s="298"/>
      <c r="I15" s="312"/>
      <c r="J15" s="298"/>
      <c r="K15" s="312"/>
      <c r="L15" s="298"/>
      <c r="M15" s="312"/>
      <c r="N15" s="298"/>
      <c r="O15" s="312"/>
      <c r="P15" s="298"/>
      <c r="Q15" s="312"/>
      <c r="R15" s="298"/>
      <c r="S15" s="312"/>
    </row>
  </sheetData>
  <mergeCells count="18">
    <mergeCell ref="A1:D1"/>
    <mergeCell ref="P3:Q3"/>
    <mergeCell ref="B3:C3"/>
    <mergeCell ref="D3:E3"/>
    <mergeCell ref="J3:K3"/>
    <mergeCell ref="L3:M3"/>
    <mergeCell ref="N3:O3"/>
    <mergeCell ref="F3:G3"/>
    <mergeCell ref="H3:I3"/>
    <mergeCell ref="J9:K9"/>
    <mergeCell ref="D9:E9"/>
    <mergeCell ref="B9:C9"/>
    <mergeCell ref="R9:S9"/>
    <mergeCell ref="P9:Q9"/>
    <mergeCell ref="N9:O9"/>
    <mergeCell ref="L9:M9"/>
    <mergeCell ref="H9:I9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S14"/>
  <sheetViews>
    <sheetView workbookViewId="0">
      <selection sqref="A1:D1"/>
    </sheetView>
  </sheetViews>
  <sheetFormatPr defaultColWidth="9.1328125" defaultRowHeight="14.25" x14ac:dyDescent="0.45"/>
  <cols>
    <col min="1" max="1" width="12.73046875" style="20" bestFit="1" customWidth="1"/>
    <col min="2" max="2" width="9.1328125" style="20"/>
    <col min="3" max="3" width="9.1328125" style="20" customWidth="1"/>
    <col min="4" max="4" width="9.1328125" style="20"/>
    <col min="5" max="5" width="9.1328125" style="20" customWidth="1"/>
    <col min="6" max="6" width="9.1328125" style="20"/>
    <col min="7" max="7" width="9.1328125" style="20" customWidth="1"/>
    <col min="8" max="8" width="9.1328125" style="20"/>
    <col min="9" max="9" width="9.1328125" style="20" customWidth="1"/>
    <col min="10" max="10" width="9.1328125" style="20"/>
    <col min="11" max="11" width="9.1328125" style="20" customWidth="1"/>
    <col min="12" max="12" width="9.1328125" style="20"/>
    <col min="13" max="13" width="9.1328125" style="20" customWidth="1"/>
    <col min="14" max="17" width="9.1328125" style="20"/>
    <col min="18" max="19" width="9.1328125" style="20" customWidth="1"/>
    <col min="20" max="16384" width="9.1328125" style="20"/>
  </cols>
  <sheetData>
    <row r="1" spans="1:19" x14ac:dyDescent="0.45">
      <c r="A1" s="400" t="s">
        <v>207</v>
      </c>
      <c r="B1" s="400"/>
      <c r="C1" s="400"/>
      <c r="D1" s="400"/>
    </row>
    <row r="2" spans="1:19" ht="14.65" thickBot="1" x14ac:dyDescent="0.5"/>
    <row r="3" spans="1:19" ht="15.75" customHeight="1" thickBot="1" x14ac:dyDescent="0.5">
      <c r="A3" s="47" t="s">
        <v>41</v>
      </c>
      <c r="B3" s="436" t="s">
        <v>170</v>
      </c>
      <c r="C3" s="436"/>
      <c r="D3" s="436" t="s">
        <v>26</v>
      </c>
      <c r="E3" s="436"/>
      <c r="F3" s="436" t="s">
        <v>27</v>
      </c>
      <c r="G3" s="436"/>
      <c r="H3" s="413" t="s">
        <v>40</v>
      </c>
      <c r="I3" s="414"/>
      <c r="J3" s="413" t="s">
        <v>91</v>
      </c>
      <c r="K3" s="435"/>
      <c r="L3" s="431" t="s">
        <v>29</v>
      </c>
      <c r="M3" s="432"/>
      <c r="N3" s="437" t="s">
        <v>149</v>
      </c>
      <c r="O3" s="419"/>
      <c r="P3" s="433" t="s">
        <v>49</v>
      </c>
      <c r="Q3" s="434"/>
      <c r="R3" s="431" t="s">
        <v>46</v>
      </c>
      <c r="S3" s="432"/>
    </row>
    <row r="4" spans="1:19" ht="28.9" thickBot="1" x14ac:dyDescent="0.5">
      <c r="A4" s="83" t="s">
        <v>1</v>
      </c>
      <c r="B4" s="63" t="s">
        <v>4</v>
      </c>
      <c r="C4" s="62" t="s">
        <v>39</v>
      </c>
      <c r="D4" s="63" t="s">
        <v>4</v>
      </c>
      <c r="E4" s="64" t="s">
        <v>39</v>
      </c>
      <c r="F4" s="60" t="s">
        <v>4</v>
      </c>
      <c r="G4" s="61" t="s">
        <v>39</v>
      </c>
      <c r="H4" s="61" t="s">
        <v>4</v>
      </c>
      <c r="I4" s="61" t="s">
        <v>39</v>
      </c>
      <c r="J4" s="61" t="s">
        <v>4</v>
      </c>
      <c r="K4" s="62" t="s">
        <v>39</v>
      </c>
      <c r="L4" s="337" t="s">
        <v>4</v>
      </c>
      <c r="M4" s="338" t="s">
        <v>39</v>
      </c>
      <c r="N4" s="62" t="s">
        <v>4</v>
      </c>
      <c r="O4" s="83" t="s">
        <v>39</v>
      </c>
      <c r="P4" s="62" t="s">
        <v>4</v>
      </c>
      <c r="Q4" s="99" t="s">
        <v>39</v>
      </c>
      <c r="R4" s="63" t="s">
        <v>4</v>
      </c>
      <c r="S4" s="64" t="s">
        <v>39</v>
      </c>
    </row>
    <row r="5" spans="1:19" x14ac:dyDescent="0.45">
      <c r="A5" s="194" t="s">
        <v>178</v>
      </c>
      <c r="B5" s="56">
        <v>2</v>
      </c>
      <c r="C5" s="57">
        <f t="shared" ref="C5:C11" si="0">B5/$B$11</f>
        <v>0.5</v>
      </c>
      <c r="D5" s="58">
        <v>32</v>
      </c>
      <c r="E5" s="59">
        <f t="shared" ref="E5:E11" si="1">D5/$D$11</f>
        <v>0.30188679245283018</v>
      </c>
      <c r="F5" s="56">
        <v>29</v>
      </c>
      <c r="G5" s="381">
        <f t="shared" ref="G5:G11" si="2">F5/$F$11</f>
        <v>5.8823529411764705E-2</v>
      </c>
      <c r="H5" s="56">
        <v>4</v>
      </c>
      <c r="I5" s="98">
        <f t="shared" ref="I5:I11" si="3">H5/$H$11</f>
        <v>1.1049723756906077E-2</v>
      </c>
      <c r="J5" s="56">
        <v>0</v>
      </c>
      <c r="K5" s="193">
        <f t="shared" ref="K5:K11" si="4">J5/$J$11</f>
        <v>0</v>
      </c>
      <c r="L5" s="100">
        <f>B5+D5+F5+H5+J5</f>
        <v>67</v>
      </c>
      <c r="M5" s="98">
        <f t="shared" ref="M5:M11" si="5">L5/$L$11</f>
        <v>6.4053537284894838E-2</v>
      </c>
      <c r="N5" s="100">
        <v>0</v>
      </c>
      <c r="O5" s="98">
        <f t="shared" ref="O5:O11" si="6">N5/$N$11</f>
        <v>0</v>
      </c>
      <c r="P5" s="100">
        <v>0</v>
      </c>
      <c r="Q5" s="193">
        <f t="shared" ref="Q5:Q10" si="7">P5/$N$11</f>
        <v>0</v>
      </c>
      <c r="R5" s="197">
        <f>L5+N5+P5</f>
        <v>67</v>
      </c>
      <c r="S5" s="98">
        <f t="shared" ref="S5:S11" si="8">R5/$R$11</f>
        <v>6.2675397567820396E-2</v>
      </c>
    </row>
    <row r="6" spans="1:19" x14ac:dyDescent="0.45">
      <c r="A6" s="48" t="s">
        <v>179</v>
      </c>
      <c r="B6" s="56">
        <v>1</v>
      </c>
      <c r="C6" s="51">
        <f t="shared" si="0"/>
        <v>0.25</v>
      </c>
      <c r="D6" s="58">
        <v>36</v>
      </c>
      <c r="E6" s="53">
        <f t="shared" si="1"/>
        <v>0.33962264150943394</v>
      </c>
      <c r="F6" s="56">
        <v>157</v>
      </c>
      <c r="G6" s="382">
        <f t="shared" si="2"/>
        <v>0.31845841784989859</v>
      </c>
      <c r="H6" s="56">
        <v>78</v>
      </c>
      <c r="I6" s="53">
        <f t="shared" si="3"/>
        <v>0.21546961325966851</v>
      </c>
      <c r="J6" s="56">
        <v>3</v>
      </c>
      <c r="K6" s="51">
        <f t="shared" si="4"/>
        <v>3.7037037037037035E-2</v>
      </c>
      <c r="L6" s="52">
        <f t="shared" ref="L6:L10" si="9">B6+D6+F6+H6+J6</f>
        <v>275</v>
      </c>
      <c r="M6" s="53">
        <f t="shared" si="5"/>
        <v>0.26290630975143403</v>
      </c>
      <c r="N6" s="58">
        <v>0</v>
      </c>
      <c r="O6" s="53">
        <f t="shared" si="6"/>
        <v>0</v>
      </c>
      <c r="P6" s="52">
        <v>0</v>
      </c>
      <c r="Q6" s="51">
        <f t="shared" si="7"/>
        <v>0</v>
      </c>
      <c r="R6" s="197">
        <f t="shared" ref="R6:R10" si="10">L6+N6+P6</f>
        <v>275</v>
      </c>
      <c r="S6" s="59">
        <f t="shared" si="8"/>
        <v>0.25724976613657624</v>
      </c>
    </row>
    <row r="7" spans="1:19" x14ac:dyDescent="0.45">
      <c r="A7" s="48" t="s">
        <v>180</v>
      </c>
      <c r="B7" s="56">
        <v>0</v>
      </c>
      <c r="C7" s="51">
        <f t="shared" si="0"/>
        <v>0</v>
      </c>
      <c r="D7" s="58">
        <v>14</v>
      </c>
      <c r="E7" s="53">
        <f t="shared" si="1"/>
        <v>0.13207547169811321</v>
      </c>
      <c r="F7" s="56">
        <v>141</v>
      </c>
      <c r="G7" s="382">
        <f t="shared" si="2"/>
        <v>0.28600405679513186</v>
      </c>
      <c r="H7" s="56">
        <v>127</v>
      </c>
      <c r="I7" s="53">
        <f t="shared" si="3"/>
        <v>0.35082872928176795</v>
      </c>
      <c r="J7" s="56">
        <v>30</v>
      </c>
      <c r="K7" s="51">
        <f t="shared" si="4"/>
        <v>0.37037037037037035</v>
      </c>
      <c r="L7" s="52">
        <f t="shared" si="9"/>
        <v>312</v>
      </c>
      <c r="M7" s="53">
        <f t="shared" si="5"/>
        <v>0.29827915869980881</v>
      </c>
      <c r="N7" s="58">
        <v>5</v>
      </c>
      <c r="O7" s="53">
        <f t="shared" si="6"/>
        <v>0.21739130434782608</v>
      </c>
      <c r="P7" s="52">
        <v>0</v>
      </c>
      <c r="Q7" s="51">
        <f t="shared" si="7"/>
        <v>0</v>
      </c>
      <c r="R7" s="197">
        <f t="shared" si="10"/>
        <v>317</v>
      </c>
      <c r="S7" s="59">
        <f t="shared" si="8"/>
        <v>0.29653882132834425</v>
      </c>
    </row>
    <row r="8" spans="1:19" x14ac:dyDescent="0.45">
      <c r="A8" s="48" t="s">
        <v>181</v>
      </c>
      <c r="B8" s="56">
        <v>0</v>
      </c>
      <c r="C8" s="51">
        <f t="shared" si="0"/>
        <v>0</v>
      </c>
      <c r="D8" s="58">
        <v>13</v>
      </c>
      <c r="E8" s="53">
        <f t="shared" si="1"/>
        <v>0.12264150943396226</v>
      </c>
      <c r="F8" s="56">
        <v>77</v>
      </c>
      <c r="G8" s="382">
        <f t="shared" si="2"/>
        <v>0.15618661257606492</v>
      </c>
      <c r="H8" s="56">
        <v>80</v>
      </c>
      <c r="I8" s="53">
        <f t="shared" si="3"/>
        <v>0.22099447513812154</v>
      </c>
      <c r="J8" s="56">
        <v>31</v>
      </c>
      <c r="K8" s="51">
        <f t="shared" si="4"/>
        <v>0.38271604938271603</v>
      </c>
      <c r="L8" s="52">
        <f t="shared" si="9"/>
        <v>201</v>
      </c>
      <c r="M8" s="53">
        <f t="shared" si="5"/>
        <v>0.1921606118546845</v>
      </c>
      <c r="N8" s="58">
        <v>11</v>
      </c>
      <c r="O8" s="53">
        <f t="shared" si="6"/>
        <v>0.47826086956521741</v>
      </c>
      <c r="P8" s="52">
        <v>0</v>
      </c>
      <c r="Q8" s="51">
        <f t="shared" si="7"/>
        <v>0</v>
      </c>
      <c r="R8" s="197">
        <f t="shared" si="10"/>
        <v>212</v>
      </c>
      <c r="S8" s="59">
        <f t="shared" si="8"/>
        <v>0.19831618334892423</v>
      </c>
    </row>
    <row r="9" spans="1:19" x14ac:dyDescent="0.45">
      <c r="A9" s="48" t="s">
        <v>182</v>
      </c>
      <c r="B9" s="56">
        <v>0</v>
      </c>
      <c r="C9" s="51">
        <f t="shared" si="0"/>
        <v>0</v>
      </c>
      <c r="D9" s="58">
        <v>10</v>
      </c>
      <c r="E9" s="53">
        <f t="shared" si="1"/>
        <v>9.4339622641509441E-2</v>
      </c>
      <c r="F9" s="56">
        <v>76</v>
      </c>
      <c r="G9" s="382">
        <f t="shared" si="2"/>
        <v>0.15415821501014199</v>
      </c>
      <c r="H9" s="56">
        <v>72</v>
      </c>
      <c r="I9" s="53">
        <f t="shared" si="3"/>
        <v>0.19889502762430938</v>
      </c>
      <c r="J9" s="56">
        <v>14</v>
      </c>
      <c r="K9" s="51">
        <f t="shared" si="4"/>
        <v>0.1728395061728395</v>
      </c>
      <c r="L9" s="52">
        <f t="shared" si="9"/>
        <v>172</v>
      </c>
      <c r="M9" s="53">
        <f t="shared" si="5"/>
        <v>0.16443594646271512</v>
      </c>
      <c r="N9" s="58">
        <v>6</v>
      </c>
      <c r="O9" s="53">
        <f t="shared" si="6"/>
        <v>0.2608695652173913</v>
      </c>
      <c r="P9" s="52">
        <v>0</v>
      </c>
      <c r="Q9" s="51">
        <f t="shared" si="7"/>
        <v>0</v>
      </c>
      <c r="R9" s="197">
        <f t="shared" si="10"/>
        <v>178</v>
      </c>
      <c r="S9" s="59">
        <f t="shared" si="8"/>
        <v>0.16651075771749299</v>
      </c>
    </row>
    <row r="10" spans="1:19" ht="14.65" thickBot="1" x14ac:dyDescent="0.5">
      <c r="A10" s="48" t="s">
        <v>183</v>
      </c>
      <c r="B10" s="56">
        <v>1</v>
      </c>
      <c r="C10" s="51">
        <f t="shared" si="0"/>
        <v>0.25</v>
      </c>
      <c r="D10" s="58">
        <v>1</v>
      </c>
      <c r="E10" s="53">
        <f t="shared" si="1"/>
        <v>9.433962264150943E-3</v>
      </c>
      <c r="F10" s="56">
        <v>13</v>
      </c>
      <c r="G10" s="382">
        <f t="shared" si="2"/>
        <v>2.6369168356997971E-2</v>
      </c>
      <c r="H10" s="56">
        <v>1</v>
      </c>
      <c r="I10" s="53">
        <f t="shared" si="3"/>
        <v>2.7624309392265192E-3</v>
      </c>
      <c r="J10" s="56">
        <v>3</v>
      </c>
      <c r="K10" s="51">
        <f t="shared" si="4"/>
        <v>3.7037037037037035E-2</v>
      </c>
      <c r="L10" s="52">
        <f t="shared" si="9"/>
        <v>19</v>
      </c>
      <c r="M10" s="53">
        <f t="shared" si="5"/>
        <v>1.8164435946462717E-2</v>
      </c>
      <c r="N10" s="58">
        <v>1</v>
      </c>
      <c r="O10" s="53">
        <f t="shared" si="6"/>
        <v>4.3478260869565216E-2</v>
      </c>
      <c r="P10" s="52">
        <v>0</v>
      </c>
      <c r="Q10" s="51">
        <f t="shared" si="7"/>
        <v>0</v>
      </c>
      <c r="R10" s="197">
        <f t="shared" si="10"/>
        <v>20</v>
      </c>
      <c r="S10" s="59">
        <f t="shared" si="8"/>
        <v>1.8709073900841908E-2</v>
      </c>
    </row>
    <row r="11" spans="1:19" ht="14.65" thickBot="1" x14ac:dyDescent="0.5">
      <c r="A11" s="50" t="s">
        <v>2</v>
      </c>
      <c r="B11" s="22">
        <f>SUM(B5:B10)</f>
        <v>4</v>
      </c>
      <c r="C11" s="41">
        <f t="shared" si="0"/>
        <v>1</v>
      </c>
      <c r="D11" s="46">
        <f>SUM(D5:D10)</f>
        <v>106</v>
      </c>
      <c r="E11" s="6">
        <f t="shared" si="1"/>
        <v>1</v>
      </c>
      <c r="F11" s="190">
        <f>SUM(F5:F10)</f>
        <v>493</v>
      </c>
      <c r="G11" s="41">
        <f t="shared" si="2"/>
        <v>1</v>
      </c>
      <c r="H11" s="190">
        <f>SUM(H5:H10)</f>
        <v>362</v>
      </c>
      <c r="I11" s="6">
        <f t="shared" si="3"/>
        <v>1</v>
      </c>
      <c r="J11" s="22">
        <f>SUM(J5:J10)</f>
        <v>81</v>
      </c>
      <c r="K11" s="192">
        <f t="shared" si="4"/>
        <v>1</v>
      </c>
      <c r="L11" s="339">
        <f>SUM(L5:L10)</f>
        <v>1046</v>
      </c>
      <c r="M11" s="340">
        <f t="shared" si="5"/>
        <v>1</v>
      </c>
      <c r="N11" s="46">
        <f>SUM(N5:N10)</f>
        <v>23</v>
      </c>
      <c r="O11" s="6">
        <f t="shared" si="6"/>
        <v>1</v>
      </c>
      <c r="P11" s="46">
        <f>SUM(P5:P10)</f>
        <v>0</v>
      </c>
      <c r="Q11" s="41">
        <v>0</v>
      </c>
      <c r="R11" s="185">
        <f>L11+N11+P11</f>
        <v>1069</v>
      </c>
      <c r="S11" s="6">
        <f t="shared" si="8"/>
        <v>1</v>
      </c>
    </row>
    <row r="12" spans="1:19" x14ac:dyDescent="0.45">
      <c r="H12" s="242"/>
      <c r="L12" s="242"/>
    </row>
    <row r="13" spans="1:19" x14ac:dyDescent="0.45">
      <c r="A13" s="9" t="s">
        <v>144</v>
      </c>
    </row>
    <row r="14" spans="1:19" x14ac:dyDescent="0.45">
      <c r="A14" s="9" t="s">
        <v>152</v>
      </c>
    </row>
  </sheetData>
  <mergeCells count="10">
    <mergeCell ref="R3:S3"/>
    <mergeCell ref="A1:D1"/>
    <mergeCell ref="P3:Q3"/>
    <mergeCell ref="H3:I3"/>
    <mergeCell ref="J3:K3"/>
    <mergeCell ref="B3:C3"/>
    <mergeCell ref="D3:E3"/>
    <mergeCell ref="F3:G3"/>
    <mergeCell ref="L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Y17"/>
  <sheetViews>
    <sheetView topLeftCell="F1" workbookViewId="0">
      <selection activeCell="M14" sqref="M14"/>
    </sheetView>
  </sheetViews>
  <sheetFormatPr defaultRowHeight="14.25" x14ac:dyDescent="0.45"/>
  <cols>
    <col min="1" max="1" width="12.73046875" bestFit="1" customWidth="1"/>
    <col min="12" max="23" width="9.1328125" style="383"/>
    <col min="24" max="24" width="11.1328125" bestFit="1" customWidth="1"/>
  </cols>
  <sheetData>
    <row r="1" spans="1:25" s="324" customFormat="1" x14ac:dyDescent="0.45">
      <c r="A1" s="400" t="s">
        <v>196</v>
      </c>
      <c r="B1" s="400"/>
      <c r="C1" s="400"/>
      <c r="D1" s="400"/>
      <c r="E1" s="400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5" s="324" customFormat="1" ht="14.65" thickBot="1" x14ac:dyDescent="0.5"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5" s="324" customFormat="1" ht="34.5" customHeight="1" thickBot="1" x14ac:dyDescent="0.5">
      <c r="A3" s="79" t="s">
        <v>41</v>
      </c>
      <c r="B3" s="403" t="s">
        <v>150</v>
      </c>
      <c r="C3" s="404"/>
      <c r="D3" s="404" t="s">
        <v>171</v>
      </c>
      <c r="E3" s="404"/>
      <c r="F3" s="440" t="s">
        <v>172</v>
      </c>
      <c r="G3" s="440"/>
      <c r="H3" s="440" t="s">
        <v>66</v>
      </c>
      <c r="I3" s="440"/>
      <c r="J3" s="440" t="s">
        <v>173</v>
      </c>
      <c r="K3" s="440"/>
      <c r="L3" s="404" t="s">
        <v>50</v>
      </c>
      <c r="M3" s="404"/>
      <c r="N3" s="404" t="s">
        <v>174</v>
      </c>
      <c r="O3" s="404"/>
      <c r="P3" s="404" t="s">
        <v>145</v>
      </c>
      <c r="Q3" s="404"/>
      <c r="R3" s="404" t="s">
        <v>175</v>
      </c>
      <c r="S3" s="404"/>
      <c r="T3" s="404" t="s">
        <v>176</v>
      </c>
      <c r="U3" s="404"/>
      <c r="V3" s="404" t="s">
        <v>177</v>
      </c>
      <c r="W3" s="405"/>
      <c r="X3" s="438" t="s">
        <v>29</v>
      </c>
      <c r="Y3" s="439"/>
    </row>
    <row r="4" spans="1:25" s="324" customFormat="1" ht="28.9" thickBot="1" x14ac:dyDescent="0.5">
      <c r="A4" s="71"/>
      <c r="B4" s="21" t="s">
        <v>4</v>
      </c>
      <c r="C4" s="7" t="s">
        <v>5</v>
      </c>
      <c r="D4" s="7" t="s">
        <v>4</v>
      </c>
      <c r="E4" s="7" t="s">
        <v>5</v>
      </c>
      <c r="F4" s="7" t="s">
        <v>4</v>
      </c>
      <c r="G4" s="7" t="s">
        <v>5</v>
      </c>
      <c r="H4" s="7" t="s">
        <v>4</v>
      </c>
      <c r="I4" s="7" t="s">
        <v>5</v>
      </c>
      <c r="J4" s="7" t="s">
        <v>4</v>
      </c>
      <c r="K4" s="38" t="s">
        <v>5</v>
      </c>
      <c r="L4" s="7" t="s">
        <v>4</v>
      </c>
      <c r="M4" s="38" t="s">
        <v>5</v>
      </c>
      <c r="N4" s="7" t="s">
        <v>4</v>
      </c>
      <c r="O4" s="38" t="s">
        <v>5</v>
      </c>
      <c r="P4" s="7" t="s">
        <v>4</v>
      </c>
      <c r="Q4" s="38" t="s">
        <v>5</v>
      </c>
      <c r="R4" s="7" t="s">
        <v>4</v>
      </c>
      <c r="S4" s="38" t="s">
        <v>5</v>
      </c>
      <c r="T4" s="7" t="s">
        <v>4</v>
      </c>
      <c r="U4" s="38" t="s">
        <v>5</v>
      </c>
      <c r="V4" s="7" t="s">
        <v>4</v>
      </c>
      <c r="W4" s="38" t="s">
        <v>5</v>
      </c>
      <c r="X4" s="44" t="s">
        <v>4</v>
      </c>
      <c r="Y4" s="8" t="s">
        <v>5</v>
      </c>
    </row>
    <row r="5" spans="1:25" s="324" customFormat="1" x14ac:dyDescent="0.45">
      <c r="A5" s="72" t="s">
        <v>178</v>
      </c>
      <c r="B5" s="68">
        <v>0</v>
      </c>
      <c r="C5" s="35">
        <f t="shared" ref="C5:C11" si="0">B5/$B$11</f>
        <v>0</v>
      </c>
      <c r="D5" s="68">
        <v>2</v>
      </c>
      <c r="E5" s="258">
        <f t="shared" ref="E5:E11" si="1">D5/$D$11</f>
        <v>2.1276595744680851E-2</v>
      </c>
      <c r="F5" s="68">
        <v>2</v>
      </c>
      <c r="G5" s="35">
        <f t="shared" ref="G5:G11" si="2">F5/$F$11</f>
        <v>9.0909090909090912E-2</v>
      </c>
      <c r="H5" s="68">
        <v>3</v>
      </c>
      <c r="I5" s="35">
        <f t="shared" ref="I5:I11" si="3">H5/$H$11</f>
        <v>4.9180327868852458E-2</v>
      </c>
      <c r="J5" s="68">
        <v>1</v>
      </c>
      <c r="K5" s="313">
        <f t="shared" ref="K5:K11" si="4">J5/$J$11</f>
        <v>1.7543859649122806E-2</v>
      </c>
      <c r="L5" s="390">
        <v>2</v>
      </c>
      <c r="M5" s="313">
        <f>L5/$L$11</f>
        <v>0.05</v>
      </c>
      <c r="N5" s="390">
        <v>16</v>
      </c>
      <c r="O5" s="313">
        <f>N5/$N$11</f>
        <v>0.10810810810810811</v>
      </c>
      <c r="P5" s="390">
        <v>5</v>
      </c>
      <c r="Q5" s="313">
        <f>P5/$P$11</f>
        <v>5.7471264367816091E-2</v>
      </c>
      <c r="R5" s="390">
        <v>30</v>
      </c>
      <c r="S5" s="313">
        <f>R5/$R$11</f>
        <v>8.5227272727272721E-2</v>
      </c>
      <c r="T5" s="390">
        <v>0</v>
      </c>
      <c r="U5" s="313">
        <f>T5/$T$11</f>
        <v>0</v>
      </c>
      <c r="V5" s="390">
        <v>6</v>
      </c>
      <c r="W5" s="313">
        <f>V5/$V$11</f>
        <v>3.1914893617021274E-2</v>
      </c>
      <c r="X5" s="314">
        <f>B5+D5+F5+H5+J5+L5+N5+P5+R5+T5+V5</f>
        <v>67</v>
      </c>
      <c r="Y5" s="59">
        <f t="shared" ref="Y5:Y11" si="5">X5/$X$11</f>
        <v>6.2675397567820396E-2</v>
      </c>
    </row>
    <row r="6" spans="1:25" s="324" customFormat="1" x14ac:dyDescent="0.45">
      <c r="A6" s="72" t="s">
        <v>179</v>
      </c>
      <c r="B6" s="68">
        <v>3</v>
      </c>
      <c r="C6" s="35">
        <f t="shared" si="0"/>
        <v>0.16666666666666666</v>
      </c>
      <c r="D6" s="68">
        <v>9</v>
      </c>
      <c r="E6" s="258">
        <f t="shared" si="1"/>
        <v>9.5744680851063829E-2</v>
      </c>
      <c r="F6" s="68">
        <v>3</v>
      </c>
      <c r="G6" s="35">
        <f t="shared" si="2"/>
        <v>0.13636363636363635</v>
      </c>
      <c r="H6" s="68">
        <v>8</v>
      </c>
      <c r="I6" s="35">
        <f t="shared" si="3"/>
        <v>0.13114754098360656</v>
      </c>
      <c r="J6" s="68">
        <v>18</v>
      </c>
      <c r="K6" s="313">
        <f t="shared" si="4"/>
        <v>0.31578947368421051</v>
      </c>
      <c r="L6" s="391">
        <v>8</v>
      </c>
      <c r="M6" s="313">
        <f t="shared" ref="M6:M10" si="6">L6/$L$11</f>
        <v>0.2</v>
      </c>
      <c r="N6" s="391">
        <v>34</v>
      </c>
      <c r="O6" s="313">
        <f t="shared" ref="O6:O10" si="7">N6/$N$11</f>
        <v>0.22972972972972974</v>
      </c>
      <c r="P6" s="391">
        <v>16</v>
      </c>
      <c r="Q6" s="313">
        <f t="shared" ref="Q6:Q10" si="8">P6/$P$11</f>
        <v>0.18390804597701149</v>
      </c>
      <c r="R6" s="391">
        <v>117</v>
      </c>
      <c r="S6" s="313">
        <f t="shared" ref="S6:S10" si="9">R6/$R$11</f>
        <v>0.33238636363636365</v>
      </c>
      <c r="T6" s="391">
        <v>0</v>
      </c>
      <c r="U6" s="313">
        <f t="shared" ref="U6:U10" si="10">T6/$T$11</f>
        <v>0</v>
      </c>
      <c r="V6" s="391">
        <v>59</v>
      </c>
      <c r="W6" s="313">
        <f t="shared" ref="W6:W10" si="11">V6/$V$11</f>
        <v>0.31382978723404253</v>
      </c>
      <c r="X6" s="314">
        <f t="shared" ref="X6:X10" si="12">B6+D6+F6+H6+J6+L6+N6+P6+R6+T6+V6</f>
        <v>275</v>
      </c>
      <c r="Y6" s="59">
        <f t="shared" si="5"/>
        <v>0.25724976613657624</v>
      </c>
    </row>
    <row r="7" spans="1:25" s="324" customFormat="1" x14ac:dyDescent="0.45">
      <c r="A7" s="73" t="s">
        <v>180</v>
      </c>
      <c r="B7" s="68">
        <v>5</v>
      </c>
      <c r="C7" s="35">
        <f t="shared" si="0"/>
        <v>0.27777777777777779</v>
      </c>
      <c r="D7" s="68">
        <v>25</v>
      </c>
      <c r="E7" s="258">
        <f t="shared" si="1"/>
        <v>0.26595744680851063</v>
      </c>
      <c r="F7" s="68">
        <v>6</v>
      </c>
      <c r="G7" s="35">
        <f t="shared" si="2"/>
        <v>0.27272727272727271</v>
      </c>
      <c r="H7" s="68">
        <v>12</v>
      </c>
      <c r="I7" s="35">
        <f t="shared" si="3"/>
        <v>0.19672131147540983</v>
      </c>
      <c r="J7" s="68">
        <v>20</v>
      </c>
      <c r="K7" s="313">
        <f t="shared" si="4"/>
        <v>0.35087719298245612</v>
      </c>
      <c r="L7" s="391">
        <v>12</v>
      </c>
      <c r="M7" s="313">
        <f t="shared" si="6"/>
        <v>0.3</v>
      </c>
      <c r="N7" s="391">
        <v>45</v>
      </c>
      <c r="O7" s="313">
        <f t="shared" si="7"/>
        <v>0.30405405405405406</v>
      </c>
      <c r="P7" s="391">
        <v>31</v>
      </c>
      <c r="Q7" s="313">
        <f t="shared" si="8"/>
        <v>0.35632183908045978</v>
      </c>
      <c r="R7" s="391">
        <v>89</v>
      </c>
      <c r="S7" s="313">
        <f t="shared" si="9"/>
        <v>0.25284090909090912</v>
      </c>
      <c r="T7" s="391">
        <v>0</v>
      </c>
      <c r="U7" s="313">
        <f t="shared" si="10"/>
        <v>0</v>
      </c>
      <c r="V7" s="391">
        <v>72</v>
      </c>
      <c r="W7" s="313">
        <f t="shared" si="11"/>
        <v>0.38297872340425532</v>
      </c>
      <c r="X7" s="314">
        <f t="shared" si="12"/>
        <v>317</v>
      </c>
      <c r="Y7" s="59">
        <f t="shared" si="5"/>
        <v>0.29653882132834425</v>
      </c>
    </row>
    <row r="8" spans="1:25" s="324" customFormat="1" x14ac:dyDescent="0.45">
      <c r="A8" s="73" t="s">
        <v>181</v>
      </c>
      <c r="B8" s="68">
        <v>5</v>
      </c>
      <c r="C8" s="35">
        <f t="shared" si="0"/>
        <v>0.27777777777777779</v>
      </c>
      <c r="D8" s="68">
        <v>20</v>
      </c>
      <c r="E8" s="258">
        <f t="shared" si="1"/>
        <v>0.21276595744680851</v>
      </c>
      <c r="F8" s="68">
        <v>5</v>
      </c>
      <c r="G8" s="35">
        <f t="shared" si="2"/>
        <v>0.22727272727272727</v>
      </c>
      <c r="H8" s="68">
        <v>7</v>
      </c>
      <c r="I8" s="35">
        <f t="shared" si="3"/>
        <v>0.11475409836065574</v>
      </c>
      <c r="J8" s="68">
        <v>13</v>
      </c>
      <c r="K8" s="313">
        <f t="shared" si="4"/>
        <v>0.22807017543859648</v>
      </c>
      <c r="L8" s="391">
        <v>11</v>
      </c>
      <c r="M8" s="313">
        <f t="shared" si="6"/>
        <v>0.27500000000000002</v>
      </c>
      <c r="N8" s="391">
        <v>33</v>
      </c>
      <c r="O8" s="313">
        <f t="shared" si="7"/>
        <v>0.22297297297297297</v>
      </c>
      <c r="P8" s="391">
        <v>20</v>
      </c>
      <c r="Q8" s="313">
        <f t="shared" si="8"/>
        <v>0.22988505747126436</v>
      </c>
      <c r="R8" s="391">
        <v>58</v>
      </c>
      <c r="S8" s="313">
        <f t="shared" si="9"/>
        <v>0.16477272727272727</v>
      </c>
      <c r="T8" s="391">
        <v>2</v>
      </c>
      <c r="U8" s="313">
        <f t="shared" si="10"/>
        <v>1</v>
      </c>
      <c r="V8" s="391">
        <v>39</v>
      </c>
      <c r="W8" s="313">
        <f t="shared" si="11"/>
        <v>0.20744680851063829</v>
      </c>
      <c r="X8" s="314">
        <f t="shared" si="12"/>
        <v>213</v>
      </c>
      <c r="Y8" s="59">
        <f t="shared" si="5"/>
        <v>0.19925163704396631</v>
      </c>
    </row>
    <row r="9" spans="1:25" s="324" customFormat="1" x14ac:dyDescent="0.45">
      <c r="A9" s="73" t="s">
        <v>182</v>
      </c>
      <c r="B9" s="68">
        <v>4</v>
      </c>
      <c r="C9" s="35">
        <f t="shared" si="0"/>
        <v>0.22222222222222221</v>
      </c>
      <c r="D9" s="68">
        <v>34</v>
      </c>
      <c r="E9" s="258">
        <f t="shared" si="1"/>
        <v>0.36170212765957449</v>
      </c>
      <c r="F9" s="68">
        <v>5</v>
      </c>
      <c r="G9" s="35">
        <f t="shared" si="2"/>
        <v>0.22727272727272727</v>
      </c>
      <c r="H9" s="68">
        <v>25</v>
      </c>
      <c r="I9" s="35">
        <f t="shared" si="3"/>
        <v>0.4098360655737705</v>
      </c>
      <c r="J9" s="68">
        <v>5</v>
      </c>
      <c r="K9" s="313">
        <f t="shared" si="4"/>
        <v>8.771929824561403E-2</v>
      </c>
      <c r="L9" s="391">
        <v>7</v>
      </c>
      <c r="M9" s="313">
        <f t="shared" si="6"/>
        <v>0.17499999999999999</v>
      </c>
      <c r="N9" s="391">
        <v>18</v>
      </c>
      <c r="O9" s="313">
        <f t="shared" si="7"/>
        <v>0.12162162162162163</v>
      </c>
      <c r="P9" s="391">
        <v>14</v>
      </c>
      <c r="Q9" s="313">
        <f t="shared" si="8"/>
        <v>0.16091954022988506</v>
      </c>
      <c r="R9" s="391">
        <v>53</v>
      </c>
      <c r="S9" s="313">
        <f t="shared" si="9"/>
        <v>0.15056818181818182</v>
      </c>
      <c r="T9" s="391">
        <v>0</v>
      </c>
      <c r="U9" s="313">
        <f t="shared" si="10"/>
        <v>0</v>
      </c>
      <c r="V9" s="391">
        <v>12</v>
      </c>
      <c r="W9" s="313">
        <f t="shared" si="11"/>
        <v>6.3829787234042548E-2</v>
      </c>
      <c r="X9" s="314">
        <f t="shared" si="12"/>
        <v>177</v>
      </c>
      <c r="Y9" s="59">
        <f t="shared" si="5"/>
        <v>0.16557530402245088</v>
      </c>
    </row>
    <row r="10" spans="1:25" s="324" customFormat="1" ht="14.65" thickBot="1" x14ac:dyDescent="0.5">
      <c r="A10" s="73" t="s">
        <v>183</v>
      </c>
      <c r="B10" s="68">
        <v>1</v>
      </c>
      <c r="C10" s="35">
        <f t="shared" si="0"/>
        <v>5.5555555555555552E-2</v>
      </c>
      <c r="D10" s="68">
        <v>4</v>
      </c>
      <c r="E10" s="258">
        <f t="shared" si="1"/>
        <v>4.2553191489361701E-2</v>
      </c>
      <c r="F10" s="68">
        <v>1</v>
      </c>
      <c r="G10" s="35">
        <f t="shared" si="2"/>
        <v>4.5454545454545456E-2</v>
      </c>
      <c r="H10" s="68">
        <v>6</v>
      </c>
      <c r="I10" s="35">
        <f t="shared" si="3"/>
        <v>9.8360655737704916E-2</v>
      </c>
      <c r="J10" s="68">
        <v>0</v>
      </c>
      <c r="K10" s="313">
        <f t="shared" si="4"/>
        <v>0</v>
      </c>
      <c r="L10" s="392">
        <v>0</v>
      </c>
      <c r="M10" s="313">
        <f t="shared" si="6"/>
        <v>0</v>
      </c>
      <c r="N10" s="392">
        <v>2</v>
      </c>
      <c r="O10" s="313">
        <f t="shared" si="7"/>
        <v>1.3513513513513514E-2</v>
      </c>
      <c r="P10" s="392">
        <v>1</v>
      </c>
      <c r="Q10" s="313">
        <f t="shared" si="8"/>
        <v>1.1494252873563218E-2</v>
      </c>
      <c r="R10" s="392">
        <v>5</v>
      </c>
      <c r="S10" s="313">
        <f t="shared" si="9"/>
        <v>1.4204545454545454E-2</v>
      </c>
      <c r="T10" s="392">
        <v>0</v>
      </c>
      <c r="U10" s="313">
        <f t="shared" si="10"/>
        <v>0</v>
      </c>
      <c r="V10" s="392">
        <v>0</v>
      </c>
      <c r="W10" s="313">
        <f t="shared" si="11"/>
        <v>0</v>
      </c>
      <c r="X10" s="314">
        <f t="shared" si="12"/>
        <v>20</v>
      </c>
      <c r="Y10" s="59">
        <f t="shared" si="5"/>
        <v>1.8709073900841908E-2</v>
      </c>
    </row>
    <row r="11" spans="1:25" s="324" customFormat="1" ht="14.65" thickBot="1" x14ac:dyDescent="0.5">
      <c r="A11" s="74" t="s">
        <v>2</v>
      </c>
      <c r="B11" s="22">
        <f>SUM(B5:B10)</f>
        <v>18</v>
      </c>
      <c r="C11" s="171">
        <f t="shared" si="0"/>
        <v>1</v>
      </c>
      <c r="D11" s="22">
        <f>SUM(D5:D10)</f>
        <v>94</v>
      </c>
      <c r="E11" s="171">
        <f t="shared" si="1"/>
        <v>1</v>
      </c>
      <c r="F11" s="22">
        <f>SUM(F5:F10)</f>
        <v>22</v>
      </c>
      <c r="G11" s="171">
        <f t="shared" si="2"/>
        <v>1</v>
      </c>
      <c r="H11" s="22">
        <f>SUM(H5:H10)</f>
        <v>61</v>
      </c>
      <c r="I11" s="171">
        <f t="shared" si="3"/>
        <v>1</v>
      </c>
      <c r="J11" s="22">
        <f>SUM(J5:J10)</f>
        <v>57</v>
      </c>
      <c r="K11" s="315">
        <f t="shared" si="4"/>
        <v>1</v>
      </c>
      <c r="L11" s="22">
        <f>SUM(L5:L10)</f>
        <v>40</v>
      </c>
      <c r="M11" s="315">
        <f>L11/$L$11</f>
        <v>1</v>
      </c>
      <c r="N11" s="22">
        <f>SUM(N5:N10)</f>
        <v>148</v>
      </c>
      <c r="O11" s="315">
        <f>N11/$N$11</f>
        <v>1</v>
      </c>
      <c r="P11" s="22">
        <f>SUM(P5:P10)</f>
        <v>87</v>
      </c>
      <c r="Q11" s="315">
        <f>P11/$P$11</f>
        <v>1</v>
      </c>
      <c r="R11" s="22">
        <f>SUM(R5:R10)</f>
        <v>352</v>
      </c>
      <c r="S11" s="315">
        <f>R11/$R$11</f>
        <v>1</v>
      </c>
      <c r="T11" s="22">
        <f>SUM(T5:T10)</f>
        <v>2</v>
      </c>
      <c r="U11" s="315">
        <f t="shared" ref="U11" si="13">T11/$J$11</f>
        <v>3.5087719298245612E-2</v>
      </c>
      <c r="V11" s="22">
        <f>SUM(V5:V10)</f>
        <v>188</v>
      </c>
      <c r="W11" s="315">
        <f>V11/$V$11</f>
        <v>1</v>
      </c>
      <c r="X11" s="396">
        <f>B11+D11+F11+H11+J11+L11+N11+P11+R11+T11+V11</f>
        <v>1069</v>
      </c>
      <c r="Y11" s="171">
        <f t="shared" si="5"/>
        <v>1</v>
      </c>
    </row>
    <row r="12" spans="1:25" s="324" customFormat="1" x14ac:dyDescent="0.45"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</row>
    <row r="13" spans="1:25" s="324" customFormat="1" x14ac:dyDescent="0.45">
      <c r="A13" s="9" t="s">
        <v>144</v>
      </c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</row>
    <row r="14" spans="1:25" s="324" customFormat="1" x14ac:dyDescent="0.45"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</row>
    <row r="15" spans="1:25" x14ac:dyDescent="0.45">
      <c r="A15" s="298"/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X15" s="298"/>
      <c r="Y15" s="298"/>
    </row>
    <row r="16" spans="1:25" x14ac:dyDescent="0.45">
      <c r="A16" s="298"/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X16" s="298"/>
      <c r="Y16" s="298"/>
    </row>
    <row r="17" spans="1:25" x14ac:dyDescent="0.45">
      <c r="A17" s="298"/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X17" s="298"/>
      <c r="Y17" s="298"/>
    </row>
  </sheetData>
  <mergeCells count="13">
    <mergeCell ref="A1:E1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L20"/>
  <sheetViews>
    <sheetView workbookViewId="0">
      <selection sqref="A1:L1"/>
    </sheetView>
  </sheetViews>
  <sheetFormatPr defaultRowHeight="14.25" x14ac:dyDescent="0.45"/>
  <cols>
    <col min="1" max="1" width="19.265625" customWidth="1"/>
  </cols>
  <sheetData>
    <row r="1" spans="1:12" x14ac:dyDescent="0.45">
      <c r="A1" s="443" t="s">
        <v>197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1:12" ht="14.65" thickBot="1" x14ac:dyDescent="0.5"/>
    <row r="3" spans="1:12" ht="14.65" thickBot="1" x14ac:dyDescent="0.5">
      <c r="A3" s="231"/>
      <c r="B3" s="445" t="s">
        <v>86</v>
      </c>
      <c r="C3" s="442"/>
      <c r="D3" s="441" t="s">
        <v>87</v>
      </c>
      <c r="E3" s="442"/>
      <c r="F3" s="441" t="s">
        <v>88</v>
      </c>
      <c r="G3" s="442"/>
    </row>
    <row r="4" spans="1:12" ht="14.65" thickBot="1" x14ac:dyDescent="0.5">
      <c r="A4" s="232"/>
      <c r="B4" s="233" t="s">
        <v>89</v>
      </c>
      <c r="C4" s="234" t="s">
        <v>90</v>
      </c>
      <c r="D4" s="234" t="s">
        <v>89</v>
      </c>
      <c r="E4" s="234" t="s">
        <v>90</v>
      </c>
      <c r="F4" s="234" t="s">
        <v>89</v>
      </c>
      <c r="G4" s="234" t="s">
        <v>90</v>
      </c>
    </row>
    <row r="5" spans="1:12" ht="30.75" customHeight="1" thickBot="1" x14ac:dyDescent="0.5">
      <c r="A5" s="235" t="s">
        <v>43</v>
      </c>
      <c r="B5" s="291">
        <v>0</v>
      </c>
      <c r="C5" s="292" t="e">
        <f>B5/$B$8</f>
        <v>#DIV/0!</v>
      </c>
      <c r="D5" s="293">
        <v>0</v>
      </c>
      <c r="E5" s="292" t="e">
        <f>D5/$D$8</f>
        <v>#DIV/0!</v>
      </c>
      <c r="F5" s="293">
        <v>0</v>
      </c>
      <c r="G5" s="292" t="e">
        <f>F5/$F$8</f>
        <v>#DIV/0!</v>
      </c>
    </row>
    <row r="6" spans="1:12" ht="14.65" thickBot="1" x14ac:dyDescent="0.5">
      <c r="A6" s="236" t="s">
        <v>94</v>
      </c>
      <c r="B6" s="291">
        <v>0</v>
      </c>
      <c r="C6" s="292" t="e">
        <f>B6/$B$8</f>
        <v>#DIV/0!</v>
      </c>
      <c r="D6" s="293">
        <v>0</v>
      </c>
      <c r="E6" s="292" t="e">
        <f t="shared" ref="E6:E7" si="0">D6/$D$8</f>
        <v>#DIV/0!</v>
      </c>
      <c r="F6" s="293">
        <v>0</v>
      </c>
      <c r="G6" s="292" t="e">
        <f t="shared" ref="G6:G8" si="1">F6/$F$8</f>
        <v>#DIV/0!</v>
      </c>
    </row>
    <row r="7" spans="1:12" ht="14.65" thickBot="1" x14ac:dyDescent="0.5">
      <c r="A7" s="244" t="s">
        <v>30</v>
      </c>
      <c r="B7" s="291">
        <v>0</v>
      </c>
      <c r="C7" s="292" t="e">
        <f>B7/$B$8</f>
        <v>#DIV/0!</v>
      </c>
      <c r="D7" s="293">
        <v>0</v>
      </c>
      <c r="E7" s="292" t="e">
        <f t="shared" si="0"/>
        <v>#DIV/0!</v>
      </c>
      <c r="F7" s="293">
        <v>0</v>
      </c>
      <c r="G7" s="292" t="e">
        <f t="shared" si="1"/>
        <v>#DIV/0!</v>
      </c>
    </row>
    <row r="8" spans="1:12" ht="14.65" thickBot="1" x14ac:dyDescent="0.5">
      <c r="A8" s="237" t="s">
        <v>2</v>
      </c>
      <c r="B8" s="294">
        <f>SUM(B5:B7)</f>
        <v>0</v>
      </c>
      <c r="C8" s="292" t="e">
        <f>B8/$B$8</f>
        <v>#DIV/0!</v>
      </c>
      <c r="D8" s="295">
        <f>SUM(D5:D7)</f>
        <v>0</v>
      </c>
      <c r="E8" s="292" t="e">
        <f>D8/$D$8</f>
        <v>#DIV/0!</v>
      </c>
      <c r="F8" s="295">
        <f>SUM(F5:F7)</f>
        <v>0</v>
      </c>
      <c r="G8" s="292" t="e">
        <f t="shared" si="1"/>
        <v>#DIV/0!</v>
      </c>
    </row>
    <row r="9" spans="1:12" ht="14.65" thickBot="1" x14ac:dyDescent="0.5">
      <c r="A9" s="238"/>
      <c r="B9" s="291"/>
      <c r="C9" s="292"/>
      <c r="D9" s="293"/>
      <c r="E9" s="292"/>
      <c r="F9" s="293"/>
      <c r="G9" s="292"/>
    </row>
    <row r="10" spans="1:12" ht="14.65" thickBot="1" x14ac:dyDescent="0.5">
      <c r="A10" s="238" t="s">
        <v>38</v>
      </c>
      <c r="B10" s="291">
        <v>0</v>
      </c>
      <c r="C10" s="292" t="e">
        <f>B10/$B$12</f>
        <v>#DIV/0!</v>
      </c>
      <c r="D10" s="293">
        <v>0</v>
      </c>
      <c r="E10" s="292" t="e">
        <f>D10/$D$12</f>
        <v>#DIV/0!</v>
      </c>
      <c r="F10" s="293">
        <v>0</v>
      </c>
      <c r="G10" s="292" t="e">
        <f>F10/$F$12</f>
        <v>#DIV/0!</v>
      </c>
    </row>
    <row r="11" spans="1:12" ht="14.65" thickBot="1" x14ac:dyDescent="0.5">
      <c r="A11" s="239" t="s">
        <v>37</v>
      </c>
      <c r="B11" s="291">
        <v>0</v>
      </c>
      <c r="C11" s="292" t="e">
        <f t="shared" ref="C11:C12" si="2">B11/$B$12</f>
        <v>#DIV/0!</v>
      </c>
      <c r="D11" s="293">
        <v>0</v>
      </c>
      <c r="E11" s="292" t="e">
        <f t="shared" ref="E11:E12" si="3">D11/$D$12</f>
        <v>#DIV/0!</v>
      </c>
      <c r="F11" s="293">
        <v>0</v>
      </c>
      <c r="G11" s="292" t="e">
        <f t="shared" ref="G11:G12" si="4">F11/$F$12</f>
        <v>#DIV/0!</v>
      </c>
    </row>
    <row r="12" spans="1:12" ht="14.65" thickBot="1" x14ac:dyDescent="0.5">
      <c r="A12" s="240" t="s">
        <v>2</v>
      </c>
      <c r="B12" s="296">
        <f>SUM(B10:B11)</f>
        <v>0</v>
      </c>
      <c r="C12" s="292" t="e">
        <f t="shared" si="2"/>
        <v>#DIV/0!</v>
      </c>
      <c r="D12" s="297">
        <f>SUM(D10:D11)</f>
        <v>0</v>
      </c>
      <c r="E12" s="292" t="e">
        <f t="shared" si="3"/>
        <v>#DIV/0!</v>
      </c>
      <c r="F12" s="297">
        <f>SUM(F10:F11)</f>
        <v>0</v>
      </c>
      <c r="G12" s="292" t="e">
        <f t="shared" si="4"/>
        <v>#DIV/0!</v>
      </c>
    </row>
    <row r="14" spans="1:12" x14ac:dyDescent="0.45">
      <c r="A14" s="346"/>
    </row>
    <row r="17" spans="1:4" ht="15" customHeight="1" x14ac:dyDescent="0.45">
      <c r="A17" s="444"/>
      <c r="B17" s="444"/>
      <c r="C17" s="444"/>
      <c r="D17" s="444"/>
    </row>
    <row r="18" spans="1:4" x14ac:dyDescent="0.45">
      <c r="A18" s="444"/>
      <c r="B18" s="444"/>
      <c r="C18" s="444"/>
      <c r="D18" s="444"/>
    </row>
    <row r="20" spans="1:4" x14ac:dyDescent="0.45">
      <c r="A20" s="243"/>
      <c r="B20" s="243"/>
      <c r="C20" s="243"/>
      <c r="D20" s="243"/>
    </row>
  </sheetData>
  <mergeCells count="8">
    <mergeCell ref="F3:G3"/>
    <mergeCell ref="A1:L1"/>
    <mergeCell ref="A17:A18"/>
    <mergeCell ref="B17:B18"/>
    <mergeCell ref="C17:C18"/>
    <mergeCell ref="D17:D18"/>
    <mergeCell ref="B3:C3"/>
    <mergeCell ref="D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Ethnicity by Grade </vt:lpstr>
      <vt:lpstr>Ethnicity by Directorate</vt:lpstr>
      <vt:lpstr>Ethnicity by Location</vt:lpstr>
      <vt:lpstr>Gender by Grade </vt:lpstr>
      <vt:lpstr>Gender by Directorate</vt:lpstr>
      <vt:lpstr>Gender by Location</vt:lpstr>
      <vt:lpstr>Age by Grade</vt:lpstr>
      <vt:lpstr>Age by Directorate </vt:lpstr>
      <vt:lpstr>Perf Mgt</vt:lpstr>
      <vt:lpstr>Leavers by ethnicity</vt:lpstr>
      <vt:lpstr>Ex-police historic figures</vt:lpstr>
      <vt:lpstr>Our staff by career background</vt:lpstr>
      <vt:lpstr>Inv and Hills by career backgro</vt:lpstr>
      <vt:lpstr>Ops and Hills breakdown</vt:lpstr>
      <vt:lpstr>Career background by directorat</vt:lpstr>
      <vt:lpstr>New starters</vt:lpstr>
    </vt:vector>
  </TitlesOfParts>
  <Company>IPCC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sheena.thakrar</dc:creator>
  <cp:lastModifiedBy>Joel Weir</cp:lastModifiedBy>
  <cp:lastPrinted>2017-10-03T09:08:39Z</cp:lastPrinted>
  <dcterms:created xsi:type="dcterms:W3CDTF">2015-04-09T11:20:32Z</dcterms:created>
  <dcterms:modified xsi:type="dcterms:W3CDTF">2023-04-13T12:43:07Z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-1069555643</vt:i4>
  </property>
  <property fmtid="{D5CDD505-2E9C-101B-9397-08002B2CF9AE}" pid="3" name="_NewReviewCycle">
    <vt:lpwstr/>
  </property>
  <property fmtid="{D5CDD505-2E9C-101B-9397-08002B2CF9AE}" pid="4" name="_EmailSubject">
    <vt:lpwstr>FOI request re staf policing background - 5024255 A Muriethi due 17/7/23</vt:lpwstr>
  </property>
  <property fmtid="{D5CDD505-2E9C-101B-9397-08002B2CF9AE}" pid="5" name="_AuthorEmail">
    <vt:lpwstr>Kelly.Cooke@policeconduct.gov.uk</vt:lpwstr>
  </property>
  <property fmtid="{D5CDD505-2E9C-101B-9397-08002B2CF9AE}" pid="6" name="_AuthorEmailDisplayName">
    <vt:lpwstr>Kelly Cooke</vt:lpwstr>
  </property>
  <property fmtid="{D5CDD505-2E9C-101B-9397-08002B2CF9AE}" pid="7" name="_PreviousAdHocReviewCycleID">
    <vt:i4>562309140</vt:i4>
  </property>
</Properties>
</file>