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amleish.parfect\Desktop\"/>
    </mc:Choice>
  </mc:AlternateContent>
  <xr:revisionPtr revIDLastSave="0" documentId="8_{2DBBBE6B-728A-459F-8311-32C72443AD2A}" xr6:coauthVersionLast="47" xr6:coauthVersionMax="47" xr10:uidLastSave="{00000000-0000-0000-0000-000000000000}"/>
  <bookViews>
    <workbookView xWindow="-28920" yWindow="-120" windowWidth="29040" windowHeight="15840" tabRatio="925" xr2:uid="{00000000-000D-0000-FFFF-FFFF00000000}"/>
  </bookViews>
  <sheets>
    <sheet name="Ethnicity by Grade " sheetId="8" r:id="rId1"/>
    <sheet name="Ethnicity by Directorate" sheetId="2" r:id="rId2"/>
    <sheet name="Ethnicity by Location" sheetId="5" r:id="rId3"/>
    <sheet name="Gender by Grade " sheetId="6" r:id="rId4"/>
    <sheet name="Gender by Directorate" sheetId="1" r:id="rId5"/>
    <sheet name="Gender by Location" sheetId="4" r:id="rId6"/>
    <sheet name="Age by Grade" sheetId="10" r:id="rId7"/>
    <sheet name="Age by Directorate " sheetId="3" r:id="rId8"/>
    <sheet name="Leavers by ethnicity" sheetId="13" r:id="rId9"/>
    <sheet name="Perf Mgt" sheetId="18" r:id="rId10"/>
    <sheet name="Ex-police historic figures" sheetId="17" r:id="rId11"/>
    <sheet name="Our staff by career background" sheetId="14" r:id="rId12"/>
    <sheet name="Inv and Hills by career backgro" sheetId="15" r:id="rId13"/>
    <sheet name="Ops and Hills breakdown" sheetId="21" r:id="rId14"/>
    <sheet name="Career background by directorat" sheetId="16" r:id="rId15"/>
    <sheet name="New starters" sheetId="19" r:id="rId16"/>
  </sheets>
  <externalReferences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21" l="1"/>
  <c r="J38" i="17"/>
  <c r="D38" i="17"/>
  <c r="P7" i="1"/>
  <c r="B9" i="14"/>
  <c r="J37" i="17"/>
  <c r="D37" i="17"/>
  <c r="J36" i="17"/>
  <c r="D36" i="17"/>
  <c r="C15" i="16"/>
  <c r="B15" i="16"/>
  <c r="D11" i="16"/>
  <c r="F11" i="16"/>
  <c r="H11" i="16"/>
  <c r="E15" i="16"/>
  <c r="G15" i="16"/>
  <c r="D14" i="16"/>
  <c r="F14" i="16"/>
  <c r="H14" i="16"/>
  <c r="D13" i="16"/>
  <c r="F13" i="16"/>
  <c r="H13" i="16"/>
  <c r="D15" i="16" l="1"/>
  <c r="D35" i="17" l="1"/>
  <c r="J35" i="17"/>
  <c r="AB6" i="3" l="1"/>
  <c r="AB7" i="3"/>
  <c r="AB8" i="3"/>
  <c r="AB9" i="3"/>
  <c r="AB10" i="3"/>
  <c r="AB5" i="3"/>
  <c r="Z11" i="3" l="1"/>
  <c r="X11" i="3"/>
  <c r="V11" i="3"/>
  <c r="T11" i="3"/>
  <c r="R11" i="3"/>
  <c r="P11" i="3"/>
  <c r="N11" i="3"/>
  <c r="AB6" i="1"/>
  <c r="AB5" i="1"/>
  <c r="Z7" i="1"/>
  <c r="X7" i="1"/>
  <c r="V7" i="1"/>
  <c r="T7" i="1"/>
  <c r="R7" i="1"/>
  <c r="N7" i="1"/>
  <c r="AB6" i="2"/>
  <c r="AB7" i="2"/>
  <c r="AB8" i="2"/>
  <c r="AB9" i="2"/>
  <c r="AB5" i="2"/>
  <c r="Z10" i="2"/>
  <c r="X10" i="2"/>
  <c r="V10" i="2"/>
  <c r="T10" i="2"/>
  <c r="R10" i="2"/>
  <c r="P10" i="2"/>
  <c r="N10" i="2"/>
  <c r="J34" i="17" l="1"/>
  <c r="D34" i="17"/>
  <c r="J33" i="17" l="1"/>
  <c r="D33" i="17"/>
  <c r="J32" i="17" l="1"/>
  <c r="D32" i="17"/>
  <c r="L5" i="13" l="1"/>
  <c r="J31" i="17"/>
  <c r="D31" i="17"/>
  <c r="R8" i="5"/>
  <c r="R9" i="5"/>
  <c r="P10" i="5"/>
  <c r="Q8" i="5" s="1"/>
  <c r="N10" i="5"/>
  <c r="O8" i="5" s="1"/>
  <c r="L10" i="5"/>
  <c r="M8" i="5" s="1"/>
  <c r="J10" i="5"/>
  <c r="K8" i="5" s="1"/>
  <c r="H10" i="5"/>
  <c r="I8" i="5" s="1"/>
  <c r="F10" i="5"/>
  <c r="G8" i="5" s="1"/>
  <c r="D10" i="5"/>
  <c r="E8" i="5" s="1"/>
  <c r="B10" i="5"/>
  <c r="C8" i="5" s="1"/>
  <c r="L10" i="2"/>
  <c r="J10" i="2"/>
  <c r="K8" i="2" s="1"/>
  <c r="H10" i="2"/>
  <c r="I8" i="2" s="1"/>
  <c r="F10" i="2"/>
  <c r="G8" i="2" s="1"/>
  <c r="D10" i="2"/>
  <c r="E8" i="2" s="1"/>
  <c r="B10" i="2"/>
  <c r="M8" i="2" l="1"/>
  <c r="AA7" i="2"/>
  <c r="AA6" i="2"/>
  <c r="Y8" i="2"/>
  <c r="W6" i="2"/>
  <c r="U8" i="2"/>
  <c r="S6" i="2"/>
  <c r="Q8" i="2"/>
  <c r="O6" i="2"/>
  <c r="AA9" i="2"/>
  <c r="AA5" i="2"/>
  <c r="Y7" i="2"/>
  <c r="W9" i="2"/>
  <c r="W5" i="2"/>
  <c r="U7" i="2"/>
  <c r="S9" i="2"/>
  <c r="S5" i="2"/>
  <c r="Q7" i="2"/>
  <c r="O9" i="2"/>
  <c r="O5" i="2"/>
  <c r="AA8" i="2"/>
  <c r="Y6" i="2"/>
  <c r="W8" i="2"/>
  <c r="U6" i="2"/>
  <c r="S8" i="2"/>
  <c r="Q6" i="2"/>
  <c r="O8" i="2"/>
  <c r="Y9" i="2"/>
  <c r="Y5" i="2"/>
  <c r="W7" i="2"/>
  <c r="U9" i="2"/>
  <c r="U5" i="2"/>
  <c r="S7" i="2"/>
  <c r="Q9" i="2"/>
  <c r="Q5" i="2"/>
  <c r="O7" i="2"/>
  <c r="C8" i="2"/>
  <c r="AB10" i="2"/>
  <c r="M10" i="2" s="1"/>
  <c r="C9" i="2"/>
  <c r="Q9" i="5"/>
  <c r="O9" i="5"/>
  <c r="M9" i="5"/>
  <c r="K9" i="5"/>
  <c r="I9" i="5"/>
  <c r="G9" i="5"/>
  <c r="E9" i="5"/>
  <c r="C9" i="5"/>
  <c r="M9" i="2"/>
  <c r="E9" i="2"/>
  <c r="G9" i="2"/>
  <c r="I9" i="2"/>
  <c r="K9" i="2"/>
  <c r="W10" i="2" l="1"/>
  <c r="AA10" i="2"/>
  <c r="Q10" i="2"/>
  <c r="O10" i="2"/>
  <c r="S10" i="2"/>
  <c r="Y10" i="2"/>
  <c r="U10" i="2"/>
  <c r="AC9" i="2"/>
  <c r="AC8" i="2"/>
  <c r="J30" i="17" l="1"/>
  <c r="D30" i="17" l="1"/>
  <c r="G4" i="8" l="1"/>
  <c r="G5" i="8"/>
  <c r="G6" i="8"/>
  <c r="G7" i="8"/>
  <c r="G8" i="8"/>
  <c r="G9" i="8"/>
  <c r="G10" i="8"/>
  <c r="G11" i="8"/>
  <c r="G12" i="8"/>
  <c r="G13" i="8"/>
  <c r="G14" i="8"/>
  <c r="G15" i="8"/>
  <c r="G16" i="8"/>
  <c r="J29" i="17" l="1"/>
  <c r="D29" i="17"/>
  <c r="D28" i="17" l="1"/>
  <c r="J28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J27" i="17" l="1"/>
  <c r="B17" i="8" l="1"/>
  <c r="C17" i="8"/>
  <c r="D17" i="8"/>
  <c r="E17" i="8"/>
  <c r="F17" i="8"/>
  <c r="G19" i="8"/>
  <c r="G20" i="8"/>
  <c r="G21" i="8"/>
  <c r="G22" i="8"/>
  <c r="G25" i="8"/>
  <c r="G26" i="8"/>
  <c r="G27" i="8"/>
  <c r="J26" i="17" l="1"/>
  <c r="J21" i="8" l="1"/>
  <c r="B23" i="8"/>
  <c r="C23" i="8"/>
  <c r="D23" i="8"/>
  <c r="E23" i="8"/>
  <c r="F23" i="8"/>
  <c r="J25" i="17" l="1"/>
  <c r="P22" i="13" l="1"/>
  <c r="J24" i="17" l="1"/>
  <c r="D6" i="19" l="1"/>
  <c r="D4" i="14"/>
  <c r="H6" i="19" l="1"/>
  <c r="F6" i="19"/>
  <c r="H5" i="19"/>
  <c r="F5" i="19"/>
  <c r="D5" i="19"/>
  <c r="H4" i="19"/>
  <c r="F4" i="19"/>
  <c r="D4" i="19"/>
  <c r="H12" i="16"/>
  <c r="F12" i="16"/>
  <c r="D12" i="16"/>
  <c r="H10" i="16"/>
  <c r="F10" i="16"/>
  <c r="D10" i="16"/>
  <c r="H9" i="16"/>
  <c r="F9" i="16"/>
  <c r="D9" i="16"/>
  <c r="H8" i="16"/>
  <c r="F8" i="16"/>
  <c r="D8" i="16"/>
  <c r="H7" i="16"/>
  <c r="F7" i="16"/>
  <c r="D7" i="16"/>
  <c r="H6" i="16"/>
  <c r="F6" i="16"/>
  <c r="D6" i="16"/>
  <c r="H5" i="16"/>
  <c r="F5" i="16"/>
  <c r="D5" i="16"/>
  <c r="H4" i="16"/>
  <c r="F4" i="16"/>
  <c r="D4" i="16"/>
  <c r="G13" i="21"/>
  <c r="E13" i="21"/>
  <c r="C13" i="21"/>
  <c r="H12" i="21"/>
  <c r="F12" i="21"/>
  <c r="D12" i="21"/>
  <c r="H11" i="21"/>
  <c r="F11" i="21"/>
  <c r="D11" i="21"/>
  <c r="H10" i="21"/>
  <c r="F10" i="21"/>
  <c r="D10" i="21"/>
  <c r="H9" i="21"/>
  <c r="F9" i="21"/>
  <c r="D9" i="21"/>
  <c r="H8" i="21"/>
  <c r="F8" i="21"/>
  <c r="D8" i="21"/>
  <c r="H7" i="21"/>
  <c r="F7" i="21"/>
  <c r="D7" i="21"/>
  <c r="H6" i="21"/>
  <c r="F6" i="21"/>
  <c r="D6" i="21"/>
  <c r="H5" i="21"/>
  <c r="F5" i="21"/>
  <c r="D5" i="21"/>
  <c r="H4" i="21"/>
  <c r="F4" i="21"/>
  <c r="D4" i="21"/>
  <c r="G15" i="15"/>
  <c r="E15" i="15"/>
  <c r="C15" i="15"/>
  <c r="B15" i="15"/>
  <c r="H14" i="15"/>
  <c r="F14" i="15"/>
  <c r="D14" i="15"/>
  <c r="H13" i="15"/>
  <c r="F13" i="15"/>
  <c r="D13" i="15"/>
  <c r="H12" i="15"/>
  <c r="F12" i="15"/>
  <c r="D12" i="15"/>
  <c r="H11" i="15"/>
  <c r="F11" i="15"/>
  <c r="D11" i="15"/>
  <c r="G9" i="15"/>
  <c r="E9" i="15"/>
  <c r="C9" i="15"/>
  <c r="B9" i="15"/>
  <c r="H8" i="15"/>
  <c r="F8" i="15"/>
  <c r="D8" i="15"/>
  <c r="H7" i="15"/>
  <c r="F7" i="15"/>
  <c r="D7" i="15"/>
  <c r="H6" i="15"/>
  <c r="F6" i="15"/>
  <c r="D6" i="15"/>
  <c r="H5" i="15"/>
  <c r="F5" i="15"/>
  <c r="D5" i="15"/>
  <c r="G9" i="14"/>
  <c r="E9" i="14"/>
  <c r="C9" i="14"/>
  <c r="H8" i="14"/>
  <c r="F8" i="14"/>
  <c r="D8" i="14"/>
  <c r="H7" i="14"/>
  <c r="F7" i="14"/>
  <c r="D7" i="14"/>
  <c r="H6" i="14"/>
  <c r="F6" i="14"/>
  <c r="D6" i="14"/>
  <c r="H5" i="14"/>
  <c r="F5" i="14"/>
  <c r="D5" i="14"/>
  <c r="H4" i="14"/>
  <c r="F4" i="14"/>
  <c r="J23" i="17"/>
  <c r="J22" i="17"/>
  <c r="J21" i="17"/>
  <c r="J20" i="17"/>
  <c r="J19" i="17"/>
  <c r="J18" i="17"/>
  <c r="I18" i="17"/>
  <c r="C18" i="17"/>
  <c r="J17" i="17"/>
  <c r="I17" i="17"/>
  <c r="C17" i="17"/>
  <c r="J16" i="17"/>
  <c r="I16" i="17"/>
  <c r="C16" i="17"/>
  <c r="J15" i="17"/>
  <c r="J14" i="17"/>
  <c r="J13" i="17"/>
  <c r="J12" i="17"/>
  <c r="J11" i="17"/>
  <c r="J10" i="17"/>
  <c r="J9" i="17"/>
  <c r="J8" i="17"/>
  <c r="I8" i="17"/>
  <c r="C8" i="17"/>
  <c r="J7" i="17"/>
  <c r="J6" i="17"/>
  <c r="J5" i="17"/>
  <c r="J4" i="17"/>
  <c r="H15" i="15" l="1"/>
  <c r="D15" i="15"/>
  <c r="F15" i="16"/>
  <c r="D9" i="15"/>
  <c r="D9" i="14"/>
  <c r="H9" i="14"/>
  <c r="H9" i="15"/>
  <c r="F9" i="14"/>
  <c r="F15" i="15"/>
  <c r="H13" i="21"/>
  <c r="H15" i="16"/>
  <c r="F13" i="21"/>
  <c r="D13" i="21"/>
  <c r="F9" i="15"/>
  <c r="L13" i="13" l="1"/>
  <c r="R13" i="13" s="1"/>
  <c r="C28" i="8" l="1"/>
  <c r="N22" i="13" l="1"/>
  <c r="J22" i="13"/>
  <c r="H22" i="13"/>
  <c r="F22" i="13"/>
  <c r="G12" i="13" s="1"/>
  <c r="D22" i="13"/>
  <c r="B22" i="13"/>
  <c r="L21" i="13"/>
  <c r="R21" i="13" s="1"/>
  <c r="L20" i="13"/>
  <c r="R20" i="13" s="1"/>
  <c r="L19" i="13"/>
  <c r="R19" i="13" s="1"/>
  <c r="L18" i="13"/>
  <c r="R18" i="13" s="1"/>
  <c r="L17" i="13"/>
  <c r="R17" i="13" s="1"/>
  <c r="L16" i="13"/>
  <c r="R16" i="13" s="1"/>
  <c r="L15" i="13"/>
  <c r="R15" i="13" s="1"/>
  <c r="L14" i="13"/>
  <c r="R14" i="13" s="1"/>
  <c r="L12" i="13"/>
  <c r="R12" i="13" s="1"/>
  <c r="L11" i="13"/>
  <c r="R11" i="13" s="1"/>
  <c r="L10" i="13"/>
  <c r="R10" i="13" s="1"/>
  <c r="L9" i="13"/>
  <c r="R9" i="13" s="1"/>
  <c r="L8" i="13"/>
  <c r="R8" i="13" s="1"/>
  <c r="L7" i="13"/>
  <c r="R7" i="13" s="1"/>
  <c r="L6" i="13"/>
  <c r="R6" i="13" s="1"/>
  <c r="R5" i="13"/>
  <c r="L11" i="3"/>
  <c r="J11" i="3"/>
  <c r="H11" i="3"/>
  <c r="F11" i="3"/>
  <c r="G11" i="3" s="1"/>
  <c r="D11" i="3"/>
  <c r="E11" i="3" s="1"/>
  <c r="B11" i="3"/>
  <c r="C11" i="3" s="1"/>
  <c r="P11" i="10"/>
  <c r="N11" i="10"/>
  <c r="J11" i="10"/>
  <c r="H11" i="10"/>
  <c r="I11" i="10" s="1"/>
  <c r="F11" i="10"/>
  <c r="D11" i="10"/>
  <c r="B11" i="10"/>
  <c r="L10" i="10"/>
  <c r="R10" i="10" s="1"/>
  <c r="L9" i="10"/>
  <c r="R9" i="10" s="1"/>
  <c r="L8" i="10"/>
  <c r="R8" i="10" s="1"/>
  <c r="L7" i="10"/>
  <c r="R7" i="10" s="1"/>
  <c r="L6" i="10"/>
  <c r="R6" i="10" s="1"/>
  <c r="L5" i="10"/>
  <c r="R5" i="10" s="1"/>
  <c r="P7" i="4"/>
  <c r="Q7" i="4" s="1"/>
  <c r="N7" i="4"/>
  <c r="O7" i="4" s="1"/>
  <c r="L7" i="4"/>
  <c r="M5" i="4" s="1"/>
  <c r="J7" i="4"/>
  <c r="K6" i="4" s="1"/>
  <c r="H7" i="4"/>
  <c r="I7" i="4" s="1"/>
  <c r="F7" i="4"/>
  <c r="G6" i="4" s="1"/>
  <c r="D7" i="4"/>
  <c r="E6" i="4" s="1"/>
  <c r="B7" i="4"/>
  <c r="C7" i="4" s="1"/>
  <c r="R6" i="4"/>
  <c r="R5" i="4"/>
  <c r="L7" i="1"/>
  <c r="J7" i="1"/>
  <c r="K5" i="1" s="1"/>
  <c r="H7" i="1"/>
  <c r="I6" i="1" s="1"/>
  <c r="F7" i="1"/>
  <c r="G7" i="1" s="1"/>
  <c r="D7" i="1"/>
  <c r="E6" i="1" s="1"/>
  <c r="B7" i="1"/>
  <c r="Q7" i="6"/>
  <c r="P7" i="6"/>
  <c r="N7" i="6"/>
  <c r="O6" i="6" s="1"/>
  <c r="J7" i="6"/>
  <c r="K6" i="6" s="1"/>
  <c r="H7" i="6"/>
  <c r="I6" i="6" s="1"/>
  <c r="F7" i="6"/>
  <c r="G6" i="6" s="1"/>
  <c r="D7" i="6"/>
  <c r="E6" i="6" s="1"/>
  <c r="B7" i="6"/>
  <c r="C6" i="6" s="1"/>
  <c r="L6" i="6"/>
  <c r="R6" i="6" s="1"/>
  <c r="L5" i="6"/>
  <c r="R5" i="6" s="1"/>
  <c r="Q5" i="5"/>
  <c r="O5" i="5"/>
  <c r="K7" i="5"/>
  <c r="I7" i="5"/>
  <c r="G6" i="5"/>
  <c r="E7" i="5"/>
  <c r="C6" i="5"/>
  <c r="R7" i="5"/>
  <c r="R6" i="5"/>
  <c r="R5" i="5"/>
  <c r="I7" i="2"/>
  <c r="G6" i="2"/>
  <c r="E5" i="2"/>
  <c r="C5" i="2"/>
  <c r="H28" i="8"/>
  <c r="F28" i="8"/>
  <c r="E28" i="8"/>
  <c r="D28" i="8"/>
  <c r="B28" i="8"/>
  <c r="J27" i="8"/>
  <c r="J26" i="8"/>
  <c r="I23" i="8"/>
  <c r="H23" i="8"/>
  <c r="J22" i="8"/>
  <c r="J20" i="8"/>
  <c r="I17" i="8"/>
  <c r="H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AB11" i="3" l="1"/>
  <c r="AC11" i="3" s="1"/>
  <c r="AA7" i="3"/>
  <c r="Y10" i="3"/>
  <c r="Y6" i="3"/>
  <c r="W9" i="3"/>
  <c r="W5" i="3"/>
  <c r="U8" i="3"/>
  <c r="S7" i="3"/>
  <c r="Q10" i="3"/>
  <c r="Q6" i="3"/>
  <c r="O9" i="3"/>
  <c r="O5" i="3"/>
  <c r="AA5" i="3"/>
  <c r="Y8" i="3"/>
  <c r="W7" i="3"/>
  <c r="U6" i="3"/>
  <c r="S5" i="3"/>
  <c r="AA8" i="3"/>
  <c r="Y7" i="3"/>
  <c r="W6" i="3"/>
  <c r="U5" i="3"/>
  <c r="O10" i="3"/>
  <c r="AA10" i="3"/>
  <c r="AA6" i="3"/>
  <c r="Y9" i="3"/>
  <c r="Y5" i="3"/>
  <c r="W8" i="3"/>
  <c r="U7" i="3"/>
  <c r="S10" i="3"/>
  <c r="S6" i="3"/>
  <c r="Q9" i="3"/>
  <c r="Q5" i="3"/>
  <c r="O8" i="3"/>
  <c r="AA9" i="3"/>
  <c r="U10" i="3"/>
  <c r="S9" i="3"/>
  <c r="Q8" i="3"/>
  <c r="O7" i="3"/>
  <c r="W10" i="3"/>
  <c r="U9" i="3"/>
  <c r="S8" i="3"/>
  <c r="Q7" i="3"/>
  <c r="O6" i="3"/>
  <c r="Y11" i="3"/>
  <c r="O11" i="3"/>
  <c r="W11" i="3"/>
  <c r="S11" i="3"/>
  <c r="U11" i="3"/>
  <c r="AA11" i="3"/>
  <c r="Q11" i="3"/>
  <c r="M6" i="1"/>
  <c r="Y6" i="1"/>
  <c r="W5" i="1"/>
  <c r="Q6" i="1"/>
  <c r="O5" i="1"/>
  <c r="AA5" i="1"/>
  <c r="U6" i="1"/>
  <c r="AA6" i="1"/>
  <c r="Y5" i="1"/>
  <c r="S6" i="1"/>
  <c r="Q5" i="1"/>
  <c r="S5" i="1"/>
  <c r="W6" i="1"/>
  <c r="U5" i="1"/>
  <c r="O6" i="1"/>
  <c r="Q7" i="1"/>
  <c r="O7" i="1"/>
  <c r="Y7" i="1"/>
  <c r="S7" i="1"/>
  <c r="W7" i="1"/>
  <c r="AA7" i="1"/>
  <c r="U7" i="1"/>
  <c r="C5" i="1"/>
  <c r="AB7" i="1"/>
  <c r="AC7" i="1" s="1"/>
  <c r="R10" i="5"/>
  <c r="S6" i="5" s="1"/>
  <c r="C5" i="13"/>
  <c r="C13" i="13"/>
  <c r="C21" i="13"/>
  <c r="C6" i="13"/>
  <c r="C14" i="13"/>
  <c r="C7" i="13"/>
  <c r="C15" i="13"/>
  <c r="C8" i="13"/>
  <c r="C16" i="13"/>
  <c r="C9" i="13"/>
  <c r="C17" i="13"/>
  <c r="C10" i="13"/>
  <c r="C18" i="13"/>
  <c r="C11" i="13"/>
  <c r="C19" i="13"/>
  <c r="C12" i="13"/>
  <c r="C20" i="13"/>
  <c r="C5" i="10"/>
  <c r="C7" i="10"/>
  <c r="C9" i="10"/>
  <c r="C6" i="10"/>
  <c r="C8" i="10"/>
  <c r="C10" i="10"/>
  <c r="E8" i="10"/>
  <c r="E5" i="10"/>
  <c r="E7" i="10"/>
  <c r="E9" i="10"/>
  <c r="E10" i="10"/>
  <c r="E6" i="10"/>
  <c r="K7" i="2"/>
  <c r="K5" i="2"/>
  <c r="M7" i="2"/>
  <c r="M5" i="2"/>
  <c r="M6" i="5"/>
  <c r="M5" i="5"/>
  <c r="C6" i="4"/>
  <c r="K17" i="13"/>
  <c r="K13" i="13"/>
  <c r="I20" i="13"/>
  <c r="I13" i="13"/>
  <c r="G20" i="13"/>
  <c r="G13" i="13"/>
  <c r="E11" i="13"/>
  <c r="E13" i="13"/>
  <c r="G9" i="13"/>
  <c r="G14" i="13"/>
  <c r="E10" i="13"/>
  <c r="E5" i="13"/>
  <c r="E12" i="13"/>
  <c r="E15" i="13"/>
  <c r="E19" i="13"/>
  <c r="E6" i="13"/>
  <c r="E9" i="13"/>
  <c r="E8" i="13"/>
  <c r="E16" i="13"/>
  <c r="E20" i="13"/>
  <c r="E21" i="13"/>
  <c r="E18" i="13"/>
  <c r="G7" i="2"/>
  <c r="G5" i="3"/>
  <c r="G7" i="3"/>
  <c r="G9" i="3"/>
  <c r="G6" i="3"/>
  <c r="G8" i="3"/>
  <c r="G10" i="3"/>
  <c r="G6" i="10"/>
  <c r="G6" i="1"/>
  <c r="O5" i="6"/>
  <c r="O7" i="6" s="1"/>
  <c r="K6" i="5"/>
  <c r="I5" i="5"/>
  <c r="G5" i="5"/>
  <c r="B30" i="8"/>
  <c r="B18" i="8" s="1"/>
  <c r="G5" i="2"/>
  <c r="C5" i="4"/>
  <c r="I6" i="4"/>
  <c r="K7" i="4"/>
  <c r="I9" i="10"/>
  <c r="E9" i="3"/>
  <c r="C5" i="6"/>
  <c r="C7" i="6" s="1"/>
  <c r="K5" i="4"/>
  <c r="E6" i="3"/>
  <c r="K7" i="13"/>
  <c r="K5" i="6"/>
  <c r="K7" i="6" s="1"/>
  <c r="K8" i="13"/>
  <c r="K18" i="13"/>
  <c r="K15" i="13"/>
  <c r="K19" i="13"/>
  <c r="K16" i="13"/>
  <c r="K21" i="13"/>
  <c r="K6" i="13"/>
  <c r="K9" i="13"/>
  <c r="G8" i="13"/>
  <c r="G7" i="13"/>
  <c r="G5" i="13"/>
  <c r="G15" i="13"/>
  <c r="G21" i="13"/>
  <c r="G19" i="13"/>
  <c r="G6" i="13"/>
  <c r="E14" i="13"/>
  <c r="E17" i="13"/>
  <c r="E7" i="13"/>
  <c r="E7" i="3"/>
  <c r="E10" i="3"/>
  <c r="E5" i="3"/>
  <c r="E8" i="3"/>
  <c r="C5" i="3"/>
  <c r="C7" i="3"/>
  <c r="C9" i="3"/>
  <c r="C6" i="3"/>
  <c r="C8" i="3"/>
  <c r="C10" i="3"/>
  <c r="Q5" i="10"/>
  <c r="Q10" i="10"/>
  <c r="O5" i="10"/>
  <c r="O8" i="10"/>
  <c r="K7" i="10"/>
  <c r="K9" i="10"/>
  <c r="C11" i="10"/>
  <c r="M7" i="1"/>
  <c r="G5" i="1"/>
  <c r="C6" i="1"/>
  <c r="C7" i="1"/>
  <c r="L7" i="6"/>
  <c r="R7" i="6" s="1"/>
  <c r="S5" i="6" s="1"/>
  <c r="O6" i="5"/>
  <c r="E7" i="2"/>
  <c r="G23" i="8"/>
  <c r="J23" i="8" s="1"/>
  <c r="G28" i="8"/>
  <c r="E7" i="1"/>
  <c r="E6" i="2"/>
  <c r="C5" i="5"/>
  <c r="Q6" i="5"/>
  <c r="Q7" i="5"/>
  <c r="O5" i="4"/>
  <c r="K5" i="10"/>
  <c r="K6" i="10"/>
  <c r="G7" i="10"/>
  <c r="O7" i="10"/>
  <c r="I8" i="10"/>
  <c r="I10" i="10"/>
  <c r="E11" i="10"/>
  <c r="K11" i="10"/>
  <c r="K5" i="13"/>
  <c r="G10" i="13"/>
  <c r="G11" i="13"/>
  <c r="K12" i="13"/>
  <c r="K14" i="13"/>
  <c r="G17" i="13"/>
  <c r="K20" i="13"/>
  <c r="C7" i="5"/>
  <c r="K5" i="5"/>
  <c r="K7" i="1"/>
  <c r="I5" i="10"/>
  <c r="I6" i="10"/>
  <c r="E5" i="1"/>
  <c r="R7" i="4"/>
  <c r="S7" i="4" s="1"/>
  <c r="O6" i="4"/>
  <c r="I7" i="10"/>
  <c r="K8" i="10"/>
  <c r="K10" i="10"/>
  <c r="L22" i="13"/>
  <c r="K10" i="13"/>
  <c r="K11" i="13"/>
  <c r="I6" i="13"/>
  <c r="I21" i="13"/>
  <c r="I8" i="13"/>
  <c r="I10" i="13"/>
  <c r="I12" i="13"/>
  <c r="I15" i="13"/>
  <c r="I17" i="13"/>
  <c r="I19" i="13"/>
  <c r="G16" i="13"/>
  <c r="G18" i="13"/>
  <c r="I5" i="13"/>
  <c r="I7" i="13"/>
  <c r="I9" i="13"/>
  <c r="I11" i="13"/>
  <c r="I14" i="13"/>
  <c r="I16" i="13"/>
  <c r="I18" i="13"/>
  <c r="I11" i="3"/>
  <c r="K11" i="3"/>
  <c r="I5" i="3"/>
  <c r="I6" i="3"/>
  <c r="I7" i="3"/>
  <c r="I8" i="3"/>
  <c r="I9" i="3"/>
  <c r="I10" i="3"/>
  <c r="M11" i="3"/>
  <c r="K5" i="3"/>
  <c r="K6" i="3"/>
  <c r="K7" i="3"/>
  <c r="K8" i="3"/>
  <c r="K9" i="3"/>
  <c r="K10" i="3"/>
  <c r="M5" i="3"/>
  <c r="M6" i="3"/>
  <c r="M7" i="3"/>
  <c r="M8" i="3"/>
  <c r="M9" i="3"/>
  <c r="M10" i="3"/>
  <c r="Q7" i="10"/>
  <c r="G9" i="10"/>
  <c r="O10" i="10"/>
  <c r="L11" i="10"/>
  <c r="M5" i="10" s="1"/>
  <c r="Q8" i="10"/>
  <c r="G10" i="10"/>
  <c r="G11" i="10"/>
  <c r="O11" i="10"/>
  <c r="G5" i="10"/>
  <c r="O6" i="10"/>
  <c r="Q6" i="10"/>
  <c r="G8" i="10"/>
  <c r="O9" i="10"/>
  <c r="Q9" i="10"/>
  <c r="Q5" i="4"/>
  <c r="M6" i="4"/>
  <c r="E7" i="4"/>
  <c r="M7" i="4"/>
  <c r="E5" i="4"/>
  <c r="Q6" i="4"/>
  <c r="G7" i="4"/>
  <c r="G5" i="4"/>
  <c r="I5" i="4"/>
  <c r="I7" i="1"/>
  <c r="I5" i="1"/>
  <c r="K6" i="1"/>
  <c r="M5" i="1"/>
  <c r="E5" i="6"/>
  <c r="E7" i="6" s="1"/>
  <c r="I5" i="6"/>
  <c r="I7" i="6" s="1"/>
  <c r="G5" i="6"/>
  <c r="G7" i="6" s="1"/>
  <c r="M7" i="5"/>
  <c r="O7" i="5"/>
  <c r="E6" i="5"/>
  <c r="E5" i="5"/>
  <c r="I6" i="5"/>
  <c r="G7" i="5"/>
  <c r="K6" i="2"/>
  <c r="C6" i="2"/>
  <c r="C7" i="2"/>
  <c r="I5" i="2"/>
  <c r="I6" i="2"/>
  <c r="M6" i="2"/>
  <c r="J17" i="8"/>
  <c r="C30" i="8"/>
  <c r="C24" i="8" s="1"/>
  <c r="J25" i="8"/>
  <c r="J28" i="8" s="1"/>
  <c r="D30" i="8"/>
  <c r="D24" i="8" s="1"/>
  <c r="J19" i="8"/>
  <c r="E30" i="8"/>
  <c r="E18" i="8" s="1"/>
  <c r="F30" i="8"/>
  <c r="F18" i="8" s="1"/>
  <c r="G17" i="8"/>
  <c r="H30" i="8"/>
  <c r="H24" i="8" s="1"/>
  <c r="I30" i="8"/>
  <c r="G10" i="5" l="1"/>
  <c r="S8" i="5"/>
  <c r="S9" i="5"/>
  <c r="AC7" i="2"/>
  <c r="C10" i="2"/>
  <c r="O10" i="5"/>
  <c r="I10" i="5"/>
  <c r="B24" i="8"/>
  <c r="B29" i="8"/>
  <c r="AC9" i="3"/>
  <c r="M6" i="13"/>
  <c r="M13" i="13"/>
  <c r="E22" i="13"/>
  <c r="AC6" i="1"/>
  <c r="Q10" i="5"/>
  <c r="M10" i="5"/>
  <c r="K10" i="5"/>
  <c r="S7" i="5"/>
  <c r="M6" i="6"/>
  <c r="M12" i="13"/>
  <c r="M7" i="13"/>
  <c r="M20" i="13"/>
  <c r="M18" i="13"/>
  <c r="M8" i="13"/>
  <c r="M14" i="13"/>
  <c r="M19" i="13"/>
  <c r="M5" i="13"/>
  <c r="M21" i="13"/>
  <c r="M9" i="13"/>
  <c r="M15" i="13"/>
  <c r="M11" i="13"/>
  <c r="M10" i="13"/>
  <c r="M16" i="13"/>
  <c r="M17" i="13"/>
  <c r="AC8" i="3"/>
  <c r="AC6" i="3"/>
  <c r="AC5" i="3"/>
  <c r="AC7" i="3"/>
  <c r="AC10" i="3"/>
  <c r="M6" i="10"/>
  <c r="S5" i="4"/>
  <c r="AC5" i="1"/>
  <c r="S6" i="6"/>
  <c r="S7" i="6" s="1"/>
  <c r="M5" i="6"/>
  <c r="S5" i="5"/>
  <c r="AC6" i="2"/>
  <c r="E10" i="2"/>
  <c r="E29" i="8"/>
  <c r="E24" i="8"/>
  <c r="D29" i="8"/>
  <c r="K10" i="2"/>
  <c r="AC5" i="2"/>
  <c r="S6" i="4"/>
  <c r="K22" i="13"/>
  <c r="G22" i="13"/>
  <c r="D18" i="8"/>
  <c r="F24" i="8"/>
  <c r="I10" i="2"/>
  <c r="C22" i="13"/>
  <c r="C10" i="5"/>
  <c r="I22" i="13"/>
  <c r="O22" i="13"/>
  <c r="M7" i="10"/>
  <c r="R11" i="10"/>
  <c r="M11" i="10"/>
  <c r="M9" i="10"/>
  <c r="M8" i="10"/>
  <c r="M10" i="10"/>
  <c r="E10" i="5"/>
  <c r="G10" i="2"/>
  <c r="G30" i="8"/>
  <c r="H29" i="8"/>
  <c r="H18" i="8"/>
  <c r="J30" i="8"/>
  <c r="J29" i="8" s="1"/>
  <c r="C29" i="8"/>
  <c r="F29" i="8"/>
  <c r="C18" i="8"/>
  <c r="S10" i="5" l="1"/>
  <c r="AC10" i="2"/>
  <c r="M7" i="6"/>
  <c r="M22" i="13"/>
  <c r="J18" i="8"/>
  <c r="S11" i="10"/>
  <c r="S8" i="10"/>
  <c r="S10" i="10"/>
  <c r="S6" i="10"/>
  <c r="S7" i="10"/>
  <c r="S5" i="10"/>
  <c r="S9" i="10"/>
  <c r="G24" i="8"/>
  <c r="G29" i="8"/>
  <c r="G18" i="8"/>
  <c r="J24" i="8"/>
  <c r="F12" i="18" l="1"/>
  <c r="D12" i="18"/>
  <c r="E12" i="18" s="1"/>
  <c r="B12" i="18"/>
  <c r="C10" i="18" s="1"/>
  <c r="F8" i="18"/>
  <c r="D8" i="18"/>
  <c r="E6" i="18" s="1"/>
  <c r="B8" i="18"/>
  <c r="C5" i="18" s="1"/>
  <c r="G11" i="18" l="1"/>
  <c r="G12" i="18"/>
  <c r="G10" i="18"/>
  <c r="G6" i="18"/>
  <c r="G7" i="18"/>
  <c r="G8" i="18"/>
  <c r="G5" i="18"/>
  <c r="E11" i="18"/>
  <c r="E10" i="18"/>
  <c r="C7" i="18"/>
  <c r="E7" i="18"/>
  <c r="C11" i="18"/>
  <c r="C12" i="18"/>
  <c r="C8" i="18"/>
  <c r="E8" i="18"/>
  <c r="E5" i="18"/>
  <c r="C6" i="18"/>
  <c r="Q22" i="13" l="1"/>
  <c r="R22" i="13" l="1"/>
  <c r="S13" i="13" l="1"/>
  <c r="S5" i="13"/>
  <c r="S22" i="13"/>
  <c r="S16" i="13"/>
  <c r="S14" i="13"/>
  <c r="S10" i="13"/>
  <c r="S18" i="13"/>
  <c r="S15" i="13"/>
  <c r="S21" i="13"/>
  <c r="S7" i="13"/>
  <c r="S11" i="13"/>
  <c r="S12" i="13"/>
  <c r="S19" i="13"/>
  <c r="S9" i="13"/>
  <c r="S6" i="13"/>
  <c r="S8" i="13"/>
  <c r="S17" i="13"/>
  <c r="S20" i="13"/>
</calcChain>
</file>

<file path=xl/sharedStrings.xml><?xml version="1.0" encoding="utf-8"?>
<sst xmlns="http://schemas.openxmlformats.org/spreadsheetml/2006/main" count="630" uniqueCount="213">
  <si>
    <t>Gender</t>
  </si>
  <si>
    <t/>
  </si>
  <si>
    <t>Total</t>
  </si>
  <si>
    <t xml:space="preserve">    %</t>
  </si>
  <si>
    <t>Staff Number</t>
  </si>
  <si>
    <t>Staff Number %</t>
  </si>
  <si>
    <t>Ethnic Origin</t>
  </si>
  <si>
    <t>Asian Bangladeshi</t>
  </si>
  <si>
    <t>Asian Indian</t>
  </si>
  <si>
    <t>Asian Other</t>
  </si>
  <si>
    <t>Asian Pakistani</t>
  </si>
  <si>
    <t>Black African</t>
  </si>
  <si>
    <t>Black Caribbean</t>
  </si>
  <si>
    <t>Black Other</t>
  </si>
  <si>
    <t>Mixed - White and Black African</t>
  </si>
  <si>
    <t>Mixed White and Black Caribbean</t>
  </si>
  <si>
    <t>Mixed White Asian</t>
  </si>
  <si>
    <t>Other</t>
  </si>
  <si>
    <t>White Irish</t>
  </si>
  <si>
    <t>Total Black and Minority Group</t>
  </si>
  <si>
    <t>Not Stated</t>
  </si>
  <si>
    <t>Undisclosed</t>
  </si>
  <si>
    <t>Total Unknown</t>
  </si>
  <si>
    <t>Undefined</t>
  </si>
  <si>
    <t>White</t>
  </si>
  <si>
    <t>White Other</t>
  </si>
  <si>
    <t>7&amp;8</t>
  </si>
  <si>
    <t>9,10&amp;11</t>
  </si>
  <si>
    <t>12 &amp;13</t>
  </si>
  <si>
    <t>Total Staff No.</t>
  </si>
  <si>
    <t>Unknown</t>
  </si>
  <si>
    <t>Birmingham</t>
  </si>
  <si>
    <t>Cardiff</t>
  </si>
  <si>
    <t>Home</t>
  </si>
  <si>
    <t>Sale</t>
  </si>
  <si>
    <t>Wakefield</t>
  </si>
  <si>
    <t>Warrington</t>
  </si>
  <si>
    <t>Female</t>
  </si>
  <si>
    <t>Male</t>
  </si>
  <si>
    <t>Staff %</t>
  </si>
  <si>
    <t>12&amp;13</t>
  </si>
  <si>
    <t>Age Category</t>
  </si>
  <si>
    <t xml:space="preserve">Comparator figures for </t>
  </si>
  <si>
    <t>White/White Other/White Irish</t>
  </si>
  <si>
    <t>Totals</t>
  </si>
  <si>
    <t xml:space="preserve">Female comparator </t>
  </si>
  <si>
    <t>Total No.</t>
  </si>
  <si>
    <t>Leaver Number</t>
  </si>
  <si>
    <t>Leaver %</t>
  </si>
  <si>
    <t>Ungraded</t>
  </si>
  <si>
    <t>Legal</t>
  </si>
  <si>
    <t>Operations</t>
  </si>
  <si>
    <t>5&amp;6 &amp; Apprentices</t>
  </si>
  <si>
    <t>Chinese or other Chinese Ethnic Background</t>
  </si>
  <si>
    <t>Croydon</t>
  </si>
  <si>
    <t>Total White/White Other/White Irish</t>
  </si>
  <si>
    <t>Job title</t>
  </si>
  <si>
    <t>Total Staff</t>
  </si>
  <si>
    <t>%</t>
  </si>
  <si>
    <t>Operations Team Leader/Deputy Senior Investigator</t>
  </si>
  <si>
    <t>Investigator' includes all grades i.e. Trainee Investigator, Investigator and Lead Investigator</t>
  </si>
  <si>
    <t>Headcount</t>
  </si>
  <si>
    <t>% Ex-Police Officer</t>
  </si>
  <si>
    <t>% Ex-Police Civilian</t>
  </si>
  <si>
    <t>Operations (excl. Hillsborough)</t>
  </si>
  <si>
    <t>Operations total</t>
  </si>
  <si>
    <t>Hillsborough</t>
  </si>
  <si>
    <t>Hillsborough total</t>
  </si>
  <si>
    <t>Directorate</t>
  </si>
  <si>
    <t xml:space="preserve">Number of Ex Police Officers  </t>
  </si>
  <si>
    <t>Number of Ex Police Civilians</t>
  </si>
  <si>
    <t>Date</t>
  </si>
  <si>
    <t>Ex Police Officer*</t>
  </si>
  <si>
    <t>Non Ex Police Officer</t>
  </si>
  <si>
    <t>% of total workforce</t>
  </si>
  <si>
    <t>Ex Police Civilian*</t>
  </si>
  <si>
    <t>Non Ex Police Civilian</t>
  </si>
  <si>
    <t>31st March 2010</t>
  </si>
  <si>
    <t>31st March 2011</t>
  </si>
  <si>
    <t>31st March 2012</t>
  </si>
  <si>
    <t>30th Sept 2012</t>
  </si>
  <si>
    <t>31st March 2013</t>
  </si>
  <si>
    <t>31st March 2014</t>
  </si>
  <si>
    <t>30th Sept 2014</t>
  </si>
  <si>
    <t>31st March 2015</t>
  </si>
  <si>
    <t>30th Sept 2015</t>
  </si>
  <si>
    <t>Disciplinary</t>
  </si>
  <si>
    <t>Grievance</t>
  </si>
  <si>
    <t>Capabililty</t>
  </si>
  <si>
    <t>Number</t>
  </si>
  <si>
    <t>% of total</t>
  </si>
  <si>
    <t>14,15&amp;16</t>
  </si>
  <si>
    <t>31st Dec 2015</t>
  </si>
  <si>
    <t>14, 15&amp;16</t>
  </si>
  <si>
    <t>BME</t>
  </si>
  <si>
    <t>Female %</t>
  </si>
  <si>
    <t>Ex-police</t>
  </si>
  <si>
    <t>Ex-police %</t>
  </si>
  <si>
    <t>Investigations Staff</t>
  </si>
  <si>
    <t>31st March 2016</t>
  </si>
  <si>
    <t>Operations Casework &amp; Contact and Assessment</t>
  </si>
  <si>
    <t>30th June 2016</t>
  </si>
  <si>
    <t>Both*</t>
  </si>
  <si>
    <t>Investigator</t>
  </si>
  <si>
    <t xml:space="preserve">BME  comparator </t>
  </si>
  <si>
    <t>30th September 2016</t>
  </si>
  <si>
    <t>Total headcount to date</t>
  </si>
  <si>
    <t>Contact and Assessment includes Assessment Unit, Contact and Assessment and Contact Centre</t>
  </si>
  <si>
    <t>31st December 2016</t>
  </si>
  <si>
    <t>Operations Manager/Senior Investigator</t>
  </si>
  <si>
    <t>Other Mixed background</t>
  </si>
  <si>
    <t>31st March 2017</t>
  </si>
  <si>
    <t>Investigator - Core</t>
  </si>
  <si>
    <t>Investigator - Hillsborough</t>
  </si>
  <si>
    <t>Operations Team Leader/Deputy Senior Investigator - Core</t>
  </si>
  <si>
    <t>Operations Team Leader/Deputy Senior Investigator - Hillsborough</t>
  </si>
  <si>
    <t>Operations Manager/Senior Investigator - Core</t>
  </si>
  <si>
    <t>Operations Manager/Senior Investigator - Hillsborough</t>
  </si>
  <si>
    <t>Operations Other</t>
  </si>
  <si>
    <t>Hillsborough Other</t>
  </si>
  <si>
    <t>Non Operations Other</t>
  </si>
  <si>
    <t>Ex police both</t>
  </si>
  <si>
    <t>30th June 2017</t>
  </si>
  <si>
    <t xml:space="preserve">Strategy and Impact </t>
  </si>
  <si>
    <t>30th September 2017</t>
  </si>
  <si>
    <t>Number of Staff who worked both as Ex Police Officer &amp; Civilian</t>
  </si>
  <si>
    <t xml:space="preserve">Investigator </t>
  </si>
  <si>
    <t xml:space="preserve">Operations Manager/Senior Investigator </t>
  </si>
  <si>
    <t>Ex police civilian*</t>
  </si>
  <si>
    <t>Ex police officer*</t>
  </si>
  <si>
    <t>*Ex police officer and ex police civilain figures do not include those that were both ex police office and civilian</t>
  </si>
  <si>
    <t>% Ex police Both</t>
  </si>
  <si>
    <t>Ex-Police Officer*</t>
  </si>
  <si>
    <t>Ex-Police Civilian*</t>
  </si>
  <si>
    <t>Ex-Police Both</t>
  </si>
  <si>
    <t>Ex Police Both</t>
  </si>
  <si>
    <t>31st  December 2017</t>
  </si>
  <si>
    <t xml:space="preserve">Operations Casework </t>
  </si>
  <si>
    <t xml:space="preserve">Operations Hillsborough </t>
  </si>
  <si>
    <t xml:space="preserve">Operations </t>
  </si>
  <si>
    <t>Other Investigations/Operations</t>
  </si>
  <si>
    <t>Other Hillsborough</t>
  </si>
  <si>
    <t xml:space="preserve">Investigator' includes all grades i.e. Trainee Investigator, Investigator and Lead Investigator. For Hillsborough Investigator includes Investigator, Lead Investigator and Senior Lead Investigator. </t>
  </si>
  <si>
    <t>31st  March 2018</t>
  </si>
  <si>
    <t xml:space="preserve">*Ex Police data excludes Temps and Seconded in. Headcount includes Seconded in, but excludes Temps. </t>
  </si>
  <si>
    <t>Includes seconded in and seconded out (excludes temporary agency staff)</t>
  </si>
  <si>
    <t>People</t>
  </si>
  <si>
    <t>Please note for the figures above: All IOPC is inclusive of Operations. Operations is inclusive of Investigations Staff</t>
  </si>
  <si>
    <t>All IOPC</t>
  </si>
  <si>
    <t>*Ex police officer and ex police civilian figures do not include those that were both ex police officer and civilian</t>
  </si>
  <si>
    <t>DG &amp; Directors</t>
  </si>
  <si>
    <t>DG and Private Office</t>
  </si>
  <si>
    <t>Excludes temporary agency workers (includes fixed term and non-voluntary leavers)</t>
  </si>
  <si>
    <t>DG &amp; Directors includes Non-executive Directors</t>
  </si>
  <si>
    <t>Canary Wharf</t>
  </si>
  <si>
    <t>30th June 2018</t>
  </si>
  <si>
    <t>30th September 2018</t>
  </si>
  <si>
    <t>None</t>
  </si>
  <si>
    <t>31st December 2018</t>
  </si>
  <si>
    <t>Ex-police includes Ex-police Officer, Civilan or both</t>
  </si>
  <si>
    <t>31st March 2019</t>
  </si>
  <si>
    <t>30th June 2019</t>
  </si>
  <si>
    <t>30th September 2019</t>
  </si>
  <si>
    <t>31st December 2019</t>
  </si>
  <si>
    <t>31st March 2020</t>
  </si>
  <si>
    <t>data end March 20</t>
  </si>
  <si>
    <t>30th June 2020</t>
  </si>
  <si>
    <t>BAME</t>
  </si>
  <si>
    <t>30th September 2020</t>
  </si>
  <si>
    <t>31st December 2020</t>
  </si>
  <si>
    <t>BAME%</t>
  </si>
  <si>
    <t>31st March 2021</t>
  </si>
  <si>
    <t>6 &amp; Apprentices</t>
  </si>
  <si>
    <t>DMI</t>
  </si>
  <si>
    <t>Estates and Facilities</t>
  </si>
  <si>
    <t>Finance</t>
  </si>
  <si>
    <t>ICT</t>
  </si>
  <si>
    <t>Investigation Support</t>
  </si>
  <si>
    <t>National Functions</t>
  </si>
  <si>
    <t>Regional Investigations</t>
  </si>
  <si>
    <t>Risk and Audit</t>
  </si>
  <si>
    <t>Strategy and Impact</t>
  </si>
  <si>
    <t>19 - 25</t>
  </si>
  <si>
    <t>26 - 34</t>
  </si>
  <si>
    <t>35 - 44</t>
  </si>
  <si>
    <t>45 - 54</t>
  </si>
  <si>
    <t>55 - 64</t>
  </si>
  <si>
    <t xml:space="preserve">65 &gt;   </t>
  </si>
  <si>
    <t>30th June 2021</t>
  </si>
  <si>
    <t>BME staff, March 2021</t>
  </si>
  <si>
    <t>data end March 21</t>
  </si>
  <si>
    <t>Prefer not to Answer</t>
  </si>
  <si>
    <t>30th September 2021</t>
  </si>
  <si>
    <t>Asian other</t>
  </si>
  <si>
    <t>Black other</t>
  </si>
  <si>
    <t>Chinese or other Chinese ethnic background</t>
  </si>
  <si>
    <t>Other mixed background</t>
  </si>
  <si>
    <t>31st December 2021</t>
  </si>
  <si>
    <t>Ethnicity by Grade - 31 March 2022</t>
  </si>
  <si>
    <t>Ethnicity by Directorate - 31 March 2022</t>
  </si>
  <si>
    <t>Ethnicity by Location - 31 March 2022</t>
  </si>
  <si>
    <t>Gender by Grade - 31 March 2022</t>
  </si>
  <si>
    <t>Gender by Directorate - 31 March 2022</t>
  </si>
  <si>
    <t>Gender by Location - 31 March 2022</t>
  </si>
  <si>
    <t>Age by Grade - 31 March 2022</t>
  </si>
  <si>
    <t>Age by Directorate - 31 March 2022</t>
  </si>
  <si>
    <t>Leavers by Ethnicity &amp; Grade 1st April 2021 - 31st March 2022</t>
  </si>
  <si>
    <t>Performance Management - Formal Disciplinary, Grievance and Capability Cases Opened 1st April 2021 - 31st March 2022</t>
  </si>
  <si>
    <t>31st March 2022</t>
  </si>
  <si>
    <t>Our Staff by Career Background - 31 March 2022</t>
  </si>
  <si>
    <t>Investigations and Hillsborough Directorate by Career Background - 31 March 2022</t>
  </si>
  <si>
    <t>Our Staff by Career Background and Directorate - 31 March 2022</t>
  </si>
  <si>
    <t>New Starters - 1 April 2021 - 31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</si>
</sst>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£&quot;#,##0.00"/>
    <numFmt numFmtId="166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7" fillId="0" borderId="0"/>
    <xf numFmtId="9" fontId="17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460">
    <xf numFmtId="0" fontId="0" fillId="0" borderId="0" xfId="0"/>
    <xf numFmtId="0" fontId="0" fillId="0" borderId="0" xfId="0" applyAlignment="1">
      <alignment wrapText="1"/>
    </xf>
    <xf numFmtId="10" fontId="0" fillId="0" borderId="9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7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3" xfId="0" applyFont="1" applyBorder="1"/>
    <xf numFmtId="0" fontId="0" fillId="0" borderId="0" xfId="0" applyFont="1"/>
    <xf numFmtId="0" fontId="0" fillId="0" borderId="29" xfId="0" applyBorder="1" applyAlignment="1">
      <alignment horizontal="center" vertical="top" wrapText="1"/>
    </xf>
    <xf numFmtId="0" fontId="2" fillId="0" borderId="29" xfId="0" applyFont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32" xfId="0" applyBorder="1"/>
    <xf numFmtId="0" fontId="0" fillId="0" borderId="33" xfId="0" applyBorder="1"/>
    <xf numFmtId="0" fontId="2" fillId="0" borderId="0" xfId="0" applyFont="1"/>
    <xf numFmtId="10" fontId="0" fillId="0" borderId="37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10" fontId="5" fillId="0" borderId="27" xfId="0" applyNumberFormat="1" applyFont="1" applyFill="1" applyBorder="1" applyAlignment="1">
      <alignment horizontal="center"/>
    </xf>
    <xf numFmtId="0" fontId="6" fillId="0" borderId="13" xfId="0" applyFont="1" applyFill="1" applyBorder="1"/>
    <xf numFmtId="0" fontId="4" fillId="2" borderId="0" xfId="0" applyFont="1" applyFill="1" applyAlignment="1">
      <alignment horizontal="center"/>
    </xf>
    <xf numFmtId="10" fontId="0" fillId="0" borderId="42" xfId="0" applyNumberFormat="1" applyBorder="1" applyAlignment="1">
      <alignment horizontal="center"/>
    </xf>
    <xf numFmtId="0" fontId="4" fillId="2" borderId="25" xfId="0" applyFont="1" applyFill="1" applyBorder="1"/>
    <xf numFmtId="0" fontId="0" fillId="0" borderId="13" xfId="0" applyBorder="1"/>
    <xf numFmtId="0" fontId="0" fillId="0" borderId="44" xfId="0" applyBorder="1" applyAlignment="1">
      <alignment horizontal="center" vertical="top" wrapText="1"/>
    </xf>
    <xf numFmtId="10" fontId="0" fillId="0" borderId="45" xfId="0" applyNumberFormat="1" applyBorder="1" applyAlignment="1">
      <alignment horizontal="center"/>
    </xf>
    <xf numFmtId="10" fontId="0" fillId="0" borderId="46" xfId="0" applyNumberFormat="1" applyBorder="1" applyAlignment="1">
      <alignment horizontal="center"/>
    </xf>
    <xf numFmtId="10" fontId="2" fillId="0" borderId="44" xfId="0" applyNumberFormat="1" applyFont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3" borderId="1" xfId="0" applyFont="1" applyFill="1" applyBorder="1"/>
    <xf numFmtId="0" fontId="8" fillId="0" borderId="49" xfId="0" applyFont="1" applyFill="1" applyBorder="1"/>
    <xf numFmtId="0" fontId="8" fillId="0" borderId="50" xfId="0" applyFont="1" applyFill="1" applyBorder="1"/>
    <xf numFmtId="0" fontId="9" fillId="0" borderId="13" xfId="0" applyFont="1" applyFill="1" applyBorder="1"/>
    <xf numFmtId="10" fontId="0" fillId="0" borderId="4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10" fontId="0" fillId="0" borderId="38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8" fillId="0" borderId="51" xfId="0" applyFont="1" applyFill="1" applyBorder="1"/>
    <xf numFmtId="0" fontId="0" fillId="0" borderId="52" xfId="0" applyFont="1" applyBorder="1" applyAlignment="1">
      <alignment horizontal="center"/>
    </xf>
    <xf numFmtId="10" fontId="0" fillId="0" borderId="53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10" fontId="0" fillId="0" borderId="43" xfId="0" applyNumberFormat="1" applyFont="1" applyBorder="1" applyAlignment="1">
      <alignment horizontal="center"/>
    </xf>
    <xf numFmtId="0" fontId="6" fillId="0" borderId="29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4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10" fontId="0" fillId="0" borderId="43" xfId="0" applyNumberFormat="1" applyBorder="1" applyAlignment="1">
      <alignment horizontal="center"/>
    </xf>
    <xf numFmtId="10" fontId="0" fillId="0" borderId="38" xfId="0" applyNumberFormat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1" xfId="0" applyBorder="1"/>
    <xf numFmtId="0" fontId="0" fillId="0" borderId="49" xfId="0" applyBorder="1"/>
    <xf numFmtId="0" fontId="0" fillId="0" borderId="13" xfId="0" applyBorder="1" applyAlignment="1">
      <alignment horizontal="center"/>
    </xf>
    <xf numFmtId="0" fontId="0" fillId="0" borderId="51" xfId="0" applyBorder="1" applyAlignment="1">
      <alignment horizontal="left"/>
    </xf>
    <xf numFmtId="0" fontId="0" fillId="0" borderId="49" xfId="0" applyBorder="1" applyAlignment="1">
      <alignment horizontal="left"/>
    </xf>
    <xf numFmtId="0" fontId="2" fillId="0" borderId="13" xfId="0" applyFont="1" applyBorder="1" applyAlignment="1">
      <alignment horizontal="left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vertical="center"/>
    </xf>
    <xf numFmtId="0" fontId="1" fillId="2" borderId="22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0" fillId="0" borderId="16" xfId="0" applyBorder="1"/>
    <xf numFmtId="0" fontId="6" fillId="0" borderId="13" xfId="0" applyFont="1" applyFill="1" applyBorder="1" applyAlignment="1">
      <alignment horizontal="center" vertical="top" wrapText="1"/>
    </xf>
    <xf numFmtId="0" fontId="11" fillId="0" borderId="0" xfId="0" applyFont="1"/>
    <xf numFmtId="0" fontId="12" fillId="3" borderId="0" xfId="0" applyFont="1" applyFill="1"/>
    <xf numFmtId="0" fontId="13" fillId="0" borderId="56" xfId="0" applyFont="1" applyFill="1" applyBorder="1" applyAlignment="1">
      <alignment horizontal="center" vertical="top" wrapText="1"/>
    </xf>
    <xf numFmtId="0" fontId="14" fillId="0" borderId="54" xfId="0" applyFont="1" applyFill="1" applyBorder="1"/>
    <xf numFmtId="0" fontId="11" fillId="0" borderId="42" xfId="0" applyFont="1" applyBorder="1" applyAlignment="1">
      <alignment horizontal="center"/>
    </xf>
    <xf numFmtId="10" fontId="11" fillId="0" borderId="43" xfId="0" applyNumberFormat="1" applyFont="1" applyBorder="1" applyAlignment="1">
      <alignment horizontal="center"/>
    </xf>
    <xf numFmtId="0" fontId="10" fillId="0" borderId="22" xfId="0" applyFont="1" applyFill="1" applyBorder="1"/>
    <xf numFmtId="0" fontId="13" fillId="0" borderId="4" xfId="0" applyFont="1" applyBorder="1" applyAlignment="1">
      <alignment horizontal="center"/>
    </xf>
    <xf numFmtId="10" fontId="13" fillId="0" borderId="6" xfId="0" applyNumberFormat="1" applyFont="1" applyBorder="1" applyAlignment="1">
      <alignment horizontal="center"/>
    </xf>
    <xf numFmtId="0" fontId="16" fillId="0" borderId="0" xfId="1" applyFont="1" applyFill="1" applyBorder="1"/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0" xfId="0" applyFill="1"/>
    <xf numFmtId="10" fontId="0" fillId="0" borderId="9" xfId="0" applyNumberFormat="1" applyFont="1" applyBorder="1" applyAlignment="1">
      <alignment horizontal="center"/>
    </xf>
    <xf numFmtId="0" fontId="6" fillId="0" borderId="22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/>
    </xf>
    <xf numFmtId="0" fontId="12" fillId="3" borderId="14" xfId="0" applyFont="1" applyFill="1" applyBorder="1" applyAlignment="1">
      <alignment horizontal="centerContinuous"/>
    </xf>
    <xf numFmtId="0" fontId="12" fillId="3" borderId="16" xfId="0" applyFont="1" applyFill="1" applyBorder="1" applyAlignment="1">
      <alignment horizontal="centerContinuous"/>
    </xf>
    <xf numFmtId="0" fontId="11" fillId="0" borderId="41" xfId="0" applyFont="1" applyBorder="1" applyAlignment="1">
      <alignment horizontal="center"/>
    </xf>
    <xf numFmtId="10" fontId="11" fillId="0" borderId="53" xfId="0" applyNumberFormat="1" applyFont="1" applyBorder="1" applyAlignment="1">
      <alignment horizontal="center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29" xfId="0" applyFont="1" applyFill="1" applyBorder="1" applyAlignment="1">
      <alignment horizontal="center" vertical="top" wrapText="1"/>
    </xf>
    <xf numFmtId="0" fontId="13" fillId="0" borderId="44" xfId="0" applyFont="1" applyFill="1" applyBorder="1" applyAlignment="1">
      <alignment horizontal="center" vertical="top" wrapText="1"/>
    </xf>
    <xf numFmtId="0" fontId="12" fillId="3" borderId="59" xfId="0" applyFont="1" applyFill="1" applyBorder="1" applyAlignment="1">
      <alignment horizontal="centerContinuous"/>
    </xf>
    <xf numFmtId="0" fontId="13" fillId="4" borderId="4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 wrapText="1"/>
    </xf>
    <xf numFmtId="0" fontId="11" fillId="0" borderId="0" xfId="0" applyFont="1" applyFill="1"/>
    <xf numFmtId="0" fontId="0" fillId="0" borderId="1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9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10" fontId="0" fillId="0" borderId="8" xfId="0" applyNumberFormat="1" applyFill="1" applyBorder="1" applyAlignment="1">
      <alignment horizontal="center"/>
    </xf>
    <xf numFmtId="10" fontId="0" fillId="0" borderId="11" xfId="0" applyNumberForma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0" fontId="0" fillId="0" borderId="42" xfId="0" applyNumberFormat="1" applyFont="1" applyFill="1" applyBorder="1" applyAlignment="1">
      <alignment horizontal="center"/>
    </xf>
    <xf numFmtId="10" fontId="0" fillId="0" borderId="42" xfId="0" applyNumberFormat="1" applyFill="1" applyBorder="1" applyAlignment="1">
      <alignment horizontal="center"/>
    </xf>
    <xf numFmtId="10" fontId="0" fillId="0" borderId="37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0" fontId="13" fillId="4" borderId="12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17" xfId="0" applyFont="1" applyFill="1" applyBorder="1" applyAlignment="1">
      <alignment horizontal="left" vertical="top"/>
    </xf>
    <xf numFmtId="0" fontId="0" fillId="0" borderId="0" xfId="0" applyBorder="1"/>
    <xf numFmtId="0" fontId="11" fillId="0" borderId="54" xfId="0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22" xfId="0" applyFill="1" applyBorder="1"/>
    <xf numFmtId="0" fontId="3" fillId="0" borderId="0" xfId="0" quotePrefix="1" applyFont="1"/>
    <xf numFmtId="0" fontId="1" fillId="2" borderId="37" xfId="0" applyFont="1" applyFill="1" applyBorder="1"/>
    <xf numFmtId="0" fontId="1" fillId="2" borderId="37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wrapText="1"/>
    </xf>
    <xf numFmtId="0" fontId="2" fillId="5" borderId="37" xfId="0" applyFont="1" applyFill="1" applyBorder="1"/>
    <xf numFmtId="0" fontId="0" fillId="5" borderId="37" xfId="0" applyFill="1" applyBorder="1" applyAlignment="1">
      <alignment horizontal="center"/>
    </xf>
    <xf numFmtId="0" fontId="2" fillId="0" borderId="11" xfId="0" applyFont="1" applyFill="1" applyBorder="1"/>
    <xf numFmtId="0" fontId="0" fillId="5" borderId="42" xfId="0" applyFill="1" applyBorder="1" applyAlignment="1">
      <alignment horizontal="center"/>
    </xf>
    <xf numFmtId="0" fontId="3" fillId="0" borderId="0" xfId="0" applyFont="1" applyFill="1"/>
    <xf numFmtId="0" fontId="1" fillId="2" borderId="4" xfId="0" applyFont="1" applyFill="1" applyBorder="1" applyAlignment="1">
      <alignment horizontal="center"/>
    </xf>
    <xf numFmtId="0" fontId="0" fillId="0" borderId="54" xfId="0" applyFill="1" applyBorder="1"/>
    <xf numFmtId="0" fontId="0" fillId="0" borderId="17" xfId="0" applyFill="1" applyBorder="1"/>
    <xf numFmtId="0" fontId="2" fillId="0" borderId="0" xfId="0" applyFont="1" applyFill="1" applyBorder="1"/>
    <xf numFmtId="0" fontId="19" fillId="0" borderId="0" xfId="0" applyFont="1"/>
    <xf numFmtId="0" fontId="0" fillId="0" borderId="37" xfId="0" applyFill="1" applyBorder="1"/>
    <xf numFmtId="0" fontId="3" fillId="0" borderId="0" xfId="0" applyFont="1" applyFill="1" applyBorder="1"/>
    <xf numFmtId="0" fontId="2" fillId="0" borderId="22" xfId="0" applyFont="1" applyBorder="1"/>
    <xf numFmtId="0" fontId="20" fillId="0" borderId="0" xfId="0" applyFont="1" applyFill="1" applyBorder="1" applyAlignment="1">
      <alignment horizontal="center"/>
    </xf>
    <xf numFmtId="0" fontId="2" fillId="0" borderId="0" xfId="0" applyFont="1" applyBorder="1"/>
    <xf numFmtId="10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29" xfId="4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14" xfId="0" applyFont="1" applyFill="1" applyBorder="1"/>
    <xf numFmtId="0" fontId="0" fillId="0" borderId="32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10" fontId="2" fillId="0" borderId="24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9" fontId="0" fillId="0" borderId="38" xfId="4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9" fontId="0" fillId="0" borderId="9" xfId="4" applyFont="1" applyFill="1" applyBorder="1" applyAlignment="1">
      <alignment horizontal="center"/>
    </xf>
    <xf numFmtId="0" fontId="0" fillId="0" borderId="61" xfId="0" applyFill="1" applyBorder="1"/>
    <xf numFmtId="0" fontId="0" fillId="0" borderId="52" xfId="0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4" fillId="0" borderId="0" xfId="0" applyFont="1"/>
    <xf numFmtId="0" fontId="0" fillId="0" borderId="42" xfId="0" applyFill="1" applyBorder="1" applyAlignment="1">
      <alignment horizontal="center"/>
    </xf>
    <xf numFmtId="10" fontId="0" fillId="0" borderId="53" xfId="0" applyNumberFormat="1" applyFill="1" applyBorder="1" applyAlignment="1">
      <alignment horizontal="center"/>
    </xf>
    <xf numFmtId="10" fontId="0" fillId="0" borderId="47" xfId="0" applyNumberForma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31" xfId="0" applyFill="1" applyBorder="1" applyAlignment="1">
      <alignment horizontal="center"/>
    </xf>
    <xf numFmtId="10" fontId="2" fillId="0" borderId="44" xfId="0" applyNumberFormat="1" applyFont="1" applyFill="1" applyBorder="1" applyAlignment="1">
      <alignment horizontal="center"/>
    </xf>
    <xf numFmtId="10" fontId="0" fillId="0" borderId="45" xfId="0" applyNumberFormat="1" applyFont="1" applyBorder="1" applyAlignment="1">
      <alignment horizontal="center"/>
    </xf>
    <xf numFmtId="0" fontId="8" fillId="0" borderId="32" xfId="0" applyFont="1" applyFill="1" applyBorder="1"/>
    <xf numFmtId="0" fontId="0" fillId="0" borderId="52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10" fontId="6" fillId="0" borderId="5" xfId="0" applyNumberFormat="1" applyFont="1" applyBorder="1" applyAlignment="1">
      <alignment horizontal="center"/>
    </xf>
    <xf numFmtId="10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26" xfId="0" applyFont="1" applyFill="1" applyBorder="1"/>
    <xf numFmtId="0" fontId="0" fillId="0" borderId="27" xfId="0" applyFill="1" applyBorder="1"/>
    <xf numFmtId="0" fontId="0" fillId="0" borderId="25" xfId="0" applyFill="1" applyBorder="1"/>
    <xf numFmtId="10" fontId="5" fillId="0" borderId="43" xfId="0" applyNumberFormat="1" applyFont="1" applyBorder="1" applyAlignment="1">
      <alignment horizontal="center"/>
    </xf>
    <xf numFmtId="10" fontId="13" fillId="0" borderId="21" xfId="0" applyNumberFormat="1" applyFont="1" applyBorder="1" applyAlignment="1">
      <alignment horizontal="center"/>
    </xf>
    <xf numFmtId="10" fontId="11" fillId="0" borderId="12" xfId="0" applyNumberFormat="1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55" xfId="0" applyFill="1" applyBorder="1"/>
    <xf numFmtId="0" fontId="2" fillId="0" borderId="42" xfId="0" applyFont="1" applyFill="1" applyBorder="1"/>
    <xf numFmtId="0" fontId="5" fillId="0" borderId="37" xfId="0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164" fontId="5" fillId="0" borderId="53" xfId="4" applyNumberFormat="1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4" fontId="5" fillId="0" borderId="62" xfId="4" applyNumberFormat="1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5" fillId="0" borderId="14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horizontal="center" vertical="center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8" fillId="0" borderId="19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2" fillId="0" borderId="13" xfId="0" applyFont="1" applyFill="1" applyBorder="1" applyAlignment="1">
      <alignment horizontal="left"/>
    </xf>
    <xf numFmtId="0" fontId="0" fillId="0" borderId="0" xfId="0" applyFont="1" applyFill="1"/>
    <xf numFmtId="0" fontId="29" fillId="0" borderId="0" xfId="0" applyFont="1" applyAlignment="1">
      <alignment vertical="center"/>
    </xf>
    <xf numFmtId="0" fontId="25" fillId="0" borderId="19" xfId="0" applyFont="1" applyBorder="1" applyAlignment="1">
      <alignment vertical="center" wrapText="1"/>
    </xf>
    <xf numFmtId="0" fontId="1" fillId="2" borderId="34" xfId="0" applyFont="1" applyFill="1" applyBorder="1"/>
    <xf numFmtId="0" fontId="1" fillId="2" borderId="66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56" xfId="0" applyFill="1" applyBorder="1"/>
    <xf numFmtId="0" fontId="0" fillId="0" borderId="7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54" xfId="0" applyFill="1" applyBorder="1" applyAlignment="1">
      <alignment wrapText="1"/>
    </xf>
    <xf numFmtId="0" fontId="0" fillId="0" borderId="19" xfId="0" applyFill="1" applyBorder="1"/>
    <xf numFmtId="0" fontId="0" fillId="0" borderId="10" xfId="0" applyFill="1" applyBorder="1" applyAlignment="1">
      <alignment horizontal="center"/>
    </xf>
    <xf numFmtId="9" fontId="0" fillId="0" borderId="12" xfId="4" applyFont="1" applyFill="1" applyBorder="1" applyAlignment="1">
      <alignment horizontal="center"/>
    </xf>
    <xf numFmtId="0" fontId="0" fillId="0" borderId="0" xfId="0"/>
    <xf numFmtId="10" fontId="0" fillId="0" borderId="52" xfId="4" applyNumberFormat="1" applyFont="1" applyBorder="1" applyAlignment="1">
      <alignment horizontal="center"/>
    </xf>
    <xf numFmtId="10" fontId="0" fillId="0" borderId="53" xfId="0" applyNumberFormat="1" applyFont="1" applyFill="1" applyBorder="1" applyAlignment="1">
      <alignment horizontal="center"/>
    </xf>
    <xf numFmtId="0" fontId="0" fillId="0" borderId="13" xfId="0" applyFill="1" applyBorder="1"/>
    <xf numFmtId="164" fontId="2" fillId="0" borderId="11" xfId="0" applyNumberFormat="1" applyFont="1" applyFill="1" applyBorder="1" applyAlignment="1">
      <alignment horizontal="center"/>
    </xf>
    <xf numFmtId="164" fontId="5" fillId="0" borderId="37" xfId="0" applyNumberFormat="1" applyFont="1" applyFill="1" applyBorder="1" applyAlignment="1">
      <alignment horizontal="center"/>
    </xf>
    <xf numFmtId="0" fontId="21" fillId="2" borderId="25" xfId="0" applyFont="1" applyFill="1" applyBorder="1" applyAlignment="1">
      <alignment horizontal="center"/>
    </xf>
    <xf numFmtId="9" fontId="21" fillId="2" borderId="34" xfId="0" applyNumberFormat="1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left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10" fontId="2" fillId="0" borderId="13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165" fontId="1" fillId="2" borderId="37" xfId="0" applyNumberFormat="1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wrapText="1"/>
    </xf>
    <xf numFmtId="0" fontId="0" fillId="0" borderId="37" xfId="0" applyFont="1" applyBorder="1"/>
    <xf numFmtId="166" fontId="0" fillId="0" borderId="37" xfId="0" applyNumberFormat="1" applyFont="1" applyBorder="1" applyAlignment="1">
      <alignment horizontal="center"/>
    </xf>
    <xf numFmtId="0" fontId="0" fillId="0" borderId="37" xfId="0" applyFont="1" applyFill="1" applyBorder="1"/>
    <xf numFmtId="166" fontId="0" fillId="0" borderId="0" xfId="0" applyNumberFormat="1" applyFont="1"/>
    <xf numFmtId="166" fontId="0" fillId="0" borderId="37" xfId="0" applyNumberFormat="1" applyFont="1" applyFill="1" applyBorder="1" applyAlignment="1">
      <alignment horizontal="center"/>
    </xf>
    <xf numFmtId="0" fontId="0" fillId="0" borderId="37" xfId="0" applyFont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0" fillId="0" borderId="0" xfId="0" applyNumberFormat="1" applyAlignment="1">
      <alignment horizontal="left"/>
    </xf>
    <xf numFmtId="166" fontId="5" fillId="0" borderId="37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9" fontId="5" fillId="0" borderId="21" xfId="4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0" xfId="0"/>
    <xf numFmtId="0" fontId="6" fillId="0" borderId="24" xfId="0" applyFont="1" applyFill="1" applyBorder="1" applyAlignment="1">
      <alignment horizontal="center" vertical="top" wrapText="1"/>
    </xf>
    <xf numFmtId="10" fontId="0" fillId="0" borderId="43" xfId="0" applyNumberFormat="1" applyFont="1" applyFill="1" applyBorder="1" applyAlignment="1">
      <alignment horizontal="center"/>
    </xf>
    <xf numFmtId="1" fontId="0" fillId="0" borderId="4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0" fontId="0" fillId="0" borderId="2" xfId="0" applyNumberFormat="1" applyFont="1" applyFill="1" applyBorder="1" applyAlignment="1">
      <alignment horizontal="center"/>
    </xf>
    <xf numFmtId="1" fontId="0" fillId="0" borderId="39" xfId="0" applyNumberFormat="1" applyFont="1" applyFill="1" applyBorder="1" applyAlignment="1">
      <alignment horizontal="center"/>
    </xf>
    <xf numFmtId="10" fontId="0" fillId="0" borderId="40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0" fontId="0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0" fillId="0" borderId="68" xfId="0" applyFill="1" applyBorder="1" applyAlignment="1">
      <alignment horizontal="center" vertical="top" wrapText="1"/>
    </xf>
    <xf numFmtId="0" fontId="2" fillId="0" borderId="67" xfId="0" applyFont="1" applyBorder="1" applyAlignment="1">
      <alignment horizontal="center"/>
    </xf>
    <xf numFmtId="10" fontId="0" fillId="0" borderId="0" xfId="0" applyNumberFormat="1"/>
    <xf numFmtId="10" fontId="0" fillId="0" borderId="53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10" fontId="2" fillId="0" borderId="23" xfId="0" applyNumberFormat="1" applyFont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9" fontId="0" fillId="0" borderId="37" xfId="4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0" borderId="1" xfId="4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 wrapText="1"/>
    </xf>
    <xf numFmtId="0" fontId="0" fillId="0" borderId="0" xfId="0"/>
    <xf numFmtId="0" fontId="2" fillId="0" borderId="26" xfId="0" applyFont="1" applyFill="1" applyBorder="1" applyAlignment="1">
      <alignment horizontal="center"/>
    </xf>
    <xf numFmtId="0" fontId="0" fillId="0" borderId="66" xfId="0" applyFill="1" applyBorder="1" applyAlignment="1">
      <alignment horizontal="center" vertical="top" wrapText="1"/>
    </xf>
    <xf numFmtId="0" fontId="0" fillId="0" borderId="59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2" fillId="0" borderId="27" xfId="0" applyFont="1" applyBorder="1"/>
    <xf numFmtId="10" fontId="2" fillId="0" borderId="70" xfId="0" applyNumberFormat="1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10" fontId="2" fillId="0" borderId="69" xfId="0" applyNumberFormat="1" applyFont="1" applyBorder="1" applyAlignment="1">
      <alignment horizontal="center"/>
    </xf>
    <xf numFmtId="0" fontId="2" fillId="0" borderId="71" xfId="0" applyFont="1" applyFill="1" applyBorder="1" applyAlignment="1">
      <alignment horizontal="center"/>
    </xf>
    <xf numFmtId="10" fontId="2" fillId="0" borderId="58" xfId="0" applyNumberFormat="1" applyFont="1" applyBorder="1" applyAlignment="1">
      <alignment horizontal="center"/>
    </xf>
    <xf numFmtId="0" fontId="6" fillId="0" borderId="34" xfId="0" applyFont="1" applyFill="1" applyBorder="1" applyAlignment="1">
      <alignment horizontal="center" vertical="top" wrapText="1"/>
    </xf>
    <xf numFmtId="0" fontId="6" fillId="0" borderId="35" xfId="0" applyFont="1" applyFill="1" applyBorder="1" applyAlignment="1">
      <alignment horizontal="center" vertical="top" wrapText="1"/>
    </xf>
    <xf numFmtId="0" fontId="6" fillId="0" borderId="71" xfId="0" applyFont="1" applyFill="1" applyBorder="1" applyAlignment="1">
      <alignment horizontal="center"/>
    </xf>
    <xf numFmtId="10" fontId="2" fillId="0" borderId="58" xfId="0" applyNumberFormat="1" applyFont="1" applyFill="1" applyBorder="1" applyAlignment="1">
      <alignment horizontal="center"/>
    </xf>
    <xf numFmtId="1" fontId="11" fillId="0" borderId="42" xfId="0" applyNumberFormat="1" applyFont="1" applyBorder="1" applyAlignment="1">
      <alignment horizontal="center"/>
    </xf>
    <xf numFmtId="1" fontId="11" fillId="0" borderId="36" xfId="0" applyNumberFormat="1" applyFont="1" applyBorder="1" applyAlignment="1">
      <alignment horizontal="center"/>
    </xf>
    <xf numFmtId="1" fontId="13" fillId="0" borderId="24" xfId="4" applyNumberFormat="1" applyFont="1" applyBorder="1" applyAlignment="1">
      <alignment horizontal="center"/>
    </xf>
    <xf numFmtId="10" fontId="13" fillId="0" borderId="24" xfId="0" applyNumberFormat="1" applyFont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0" fontId="25" fillId="0" borderId="0" xfId="0" applyFont="1" applyFill="1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9" fontId="0" fillId="0" borderId="63" xfId="4" applyFont="1" applyFill="1" applyBorder="1" applyAlignment="1">
      <alignment horizontal="center"/>
    </xf>
    <xf numFmtId="9" fontId="2" fillId="0" borderId="6" xfId="4" applyFont="1" applyBorder="1" applyAlignment="1">
      <alignment horizontal="center"/>
    </xf>
    <xf numFmtId="9" fontId="6" fillId="0" borderId="24" xfId="0" applyNumberFormat="1" applyFont="1" applyFill="1" applyBorder="1" applyAlignment="1">
      <alignment horizontal="center"/>
    </xf>
    <xf numFmtId="9" fontId="6" fillId="0" borderId="23" xfId="4" applyNumberFormat="1" applyFont="1" applyFill="1" applyBorder="1" applyAlignment="1">
      <alignment horizontal="center"/>
    </xf>
    <xf numFmtId="9" fontId="6" fillId="0" borderId="24" xfId="4" applyNumberFormat="1" applyFont="1" applyFill="1" applyBorder="1" applyAlignment="1">
      <alignment horizontal="center"/>
    </xf>
    <xf numFmtId="0" fontId="28" fillId="0" borderId="27" xfId="0" applyFont="1" applyBorder="1" applyAlignment="1">
      <alignment horizontal="center"/>
    </xf>
    <xf numFmtId="9" fontId="2" fillId="0" borderId="27" xfId="0" applyNumberFormat="1" applyFont="1" applyBorder="1" applyAlignment="1">
      <alignment horizontal="center"/>
    </xf>
    <xf numFmtId="9" fontId="0" fillId="0" borderId="0" xfId="4" applyFont="1"/>
    <xf numFmtId="164" fontId="0" fillId="0" borderId="0" xfId="4" applyNumberFormat="1" applyFont="1"/>
    <xf numFmtId="0" fontId="11" fillId="0" borderId="54" xfId="0" applyFont="1" applyFill="1" applyBorder="1" applyAlignment="1">
      <alignment wrapText="1"/>
    </xf>
    <xf numFmtId="0" fontId="5" fillId="0" borderId="17" xfId="0" applyFont="1" applyBorder="1"/>
    <xf numFmtId="0" fontId="11" fillId="0" borderId="55" xfId="0" applyFont="1" applyFill="1" applyBorder="1"/>
    <xf numFmtId="0" fontId="0" fillId="0" borderId="0" xfId="0"/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0" fontId="6" fillId="0" borderId="26" xfId="0" applyNumberFormat="1" applyFont="1" applyFill="1" applyBorder="1" applyAlignment="1">
      <alignment horizontal="center"/>
    </xf>
    <xf numFmtId="0" fontId="0" fillId="0" borderId="0" xfId="0"/>
    <xf numFmtId="0" fontId="0" fillId="0" borderId="72" xfId="0" applyFill="1" applyBorder="1" applyAlignment="1">
      <alignment horizontal="center"/>
    </xf>
    <xf numFmtId="0" fontId="0" fillId="0" borderId="73" xfId="0" applyFill="1" applyBorder="1" applyAlignment="1">
      <alignment horizontal="center"/>
    </xf>
    <xf numFmtId="0" fontId="0" fillId="0" borderId="74" xfId="0" applyFill="1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61" xfId="0" applyBorder="1"/>
    <xf numFmtId="0" fontId="0" fillId="0" borderId="54" xfId="0" applyBorder="1"/>
    <xf numFmtId="0" fontId="0" fillId="0" borderId="4" xfId="0" applyFill="1" applyBorder="1" applyAlignment="1">
      <alignment horizontal="center" vertical="top" wrapText="1"/>
    </xf>
    <xf numFmtId="0" fontId="0" fillId="0" borderId="71" xfId="0" applyFill="1" applyBorder="1" applyAlignment="1">
      <alignment horizontal="center"/>
    </xf>
    <xf numFmtId="0" fontId="0" fillId="0" borderId="70" xfId="0" applyFill="1" applyBorder="1" applyAlignment="1">
      <alignment horizontal="center"/>
    </xf>
    <xf numFmtId="0" fontId="0" fillId="0" borderId="51" xfId="0" applyBorder="1" applyAlignment="1">
      <alignment wrapText="1"/>
    </xf>
    <xf numFmtId="0" fontId="0" fillId="0" borderId="49" xfId="0" applyBorder="1" applyAlignment="1">
      <alignment wrapText="1"/>
    </xf>
    <xf numFmtId="10" fontId="0" fillId="0" borderId="8" xfId="0" applyNumberFormat="1" applyFont="1" applyBorder="1" applyAlignment="1">
      <alignment horizontal="center"/>
    </xf>
    <xf numFmtId="10" fontId="0" fillId="0" borderId="37" xfId="0" applyNumberFormat="1" applyFont="1" applyBorder="1" applyAlignment="1">
      <alignment horizontal="center"/>
    </xf>
    <xf numFmtId="0" fontId="0" fillId="0" borderId="0" xfId="0"/>
    <xf numFmtId="10" fontId="0" fillId="0" borderId="47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10" fontId="0" fillId="0" borderId="3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0" borderId="0" xfId="0"/>
    <xf numFmtId="0" fontId="0" fillId="0" borderId="72" xfId="0" applyBorder="1" applyAlignment="1">
      <alignment horizontal="center"/>
    </xf>
    <xf numFmtId="0" fontId="0" fillId="0" borderId="49" xfId="0" applyFill="1" applyBorder="1"/>
    <xf numFmtId="0" fontId="0" fillId="0" borderId="75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13" xfId="0" applyFont="1" applyFill="1" applyBorder="1"/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0" fontId="5" fillId="0" borderId="22" xfId="0" applyNumberFormat="1" applyFont="1" applyFill="1" applyBorder="1" applyAlignment="1">
      <alignment horizontal="center"/>
    </xf>
    <xf numFmtId="10" fontId="5" fillId="0" borderId="24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vertical="top"/>
    </xf>
    <xf numFmtId="0" fontId="1" fillId="2" borderId="67" xfId="0" applyFont="1" applyFill="1" applyBorder="1" applyAlignment="1">
      <alignment horizontal="center" vertical="top"/>
    </xf>
    <xf numFmtId="0" fontId="7" fillId="3" borderId="46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10" fontId="5" fillId="0" borderId="13" xfId="0" applyNumberFormat="1" applyFon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 wrapText="1"/>
    </xf>
    <xf numFmtId="0" fontId="7" fillId="3" borderId="60" xfId="0" applyFont="1" applyFill="1" applyBorder="1" applyAlignment="1">
      <alignment horizontal="center" wrapText="1"/>
    </xf>
    <xf numFmtId="0" fontId="7" fillId="3" borderId="5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26" fillId="6" borderId="65" xfId="0" applyFont="1" applyFill="1" applyBorder="1" applyAlignment="1">
      <alignment horizontal="center" vertical="center"/>
    </xf>
    <xf numFmtId="0" fontId="26" fillId="6" borderId="6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0" fillId="0" borderId="0" xfId="0"/>
    <xf numFmtId="0" fontId="26" fillId="6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Percent" xfId="4" builtinId="5"/>
    <cellStyle name="Percent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qtrim\TRIM_DATA$\epru.husseyin\TRIM\TEMP\HPTRIM.36664\IPCC%2012505-003%20%20FOI%20Stats%2031%20March%202013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ex-police staff"/>
      <sheetName val="No ex-police_seperated"/>
      <sheetName val="Ex police officer_job"/>
      <sheetName val="Ex police civilian_job"/>
      <sheetName val="No of employees"/>
      <sheetName val="No of leavers "/>
    </sheetNames>
    <sheetDataSet>
      <sheetData sheetId="0">
        <row r="32">
          <cell r="C32">
            <v>28</v>
          </cell>
        </row>
        <row r="33">
          <cell r="C33">
            <v>22</v>
          </cell>
        </row>
        <row r="34">
          <cell r="C34">
            <v>327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8"/>
  <sheetViews>
    <sheetView tabSelected="1" zoomScale="90" zoomScaleNormal="90" workbookViewId="0">
      <selection sqref="A1:C1"/>
    </sheetView>
  </sheetViews>
  <sheetFormatPr defaultRowHeight="14.5" x14ac:dyDescent="0.35"/>
  <cols>
    <col min="1" max="1" width="41" customWidth="1"/>
    <col min="2" max="6" width="11.7265625" style="10" customWidth="1"/>
    <col min="7" max="7" width="13.7265625" style="10" bestFit="1" customWidth="1"/>
    <col min="8" max="8" width="13.81640625" bestFit="1" customWidth="1"/>
    <col min="9" max="9" width="11.7265625" customWidth="1"/>
    <col min="10" max="10" width="11.7265625" style="258" customWidth="1"/>
    <col min="11" max="11" width="11.7265625" customWidth="1"/>
  </cols>
  <sheetData>
    <row r="1" spans="1:10" s="325" customFormat="1" ht="15.5" x14ac:dyDescent="0.35">
      <c r="A1" s="402" t="s">
        <v>198</v>
      </c>
      <c r="B1" s="402"/>
      <c r="C1" s="402"/>
      <c r="D1" s="10"/>
      <c r="E1" s="10"/>
      <c r="F1" s="10"/>
      <c r="G1" s="10"/>
    </row>
    <row r="2" spans="1:10" s="325" customFormat="1" ht="15" thickBot="1" x14ac:dyDescent="0.4">
      <c r="B2" s="10"/>
      <c r="C2" s="10"/>
      <c r="D2" s="10"/>
      <c r="E2" s="10"/>
      <c r="F2" s="10"/>
      <c r="G2" s="10"/>
    </row>
    <row r="3" spans="1:10" s="325" customFormat="1" ht="36.75" customHeight="1" thickBot="1" x14ac:dyDescent="0.4">
      <c r="A3" s="80" t="s">
        <v>6</v>
      </c>
      <c r="B3" s="132" t="s">
        <v>172</v>
      </c>
      <c r="C3" s="15" t="s">
        <v>26</v>
      </c>
      <c r="D3" s="15" t="s">
        <v>27</v>
      </c>
      <c r="E3" s="15" t="s">
        <v>28</v>
      </c>
      <c r="F3" s="15" t="s">
        <v>91</v>
      </c>
      <c r="G3" s="16" t="s">
        <v>29</v>
      </c>
      <c r="H3" s="81" t="s">
        <v>150</v>
      </c>
      <c r="I3" s="81" t="s">
        <v>49</v>
      </c>
      <c r="J3" s="81" t="s">
        <v>2</v>
      </c>
    </row>
    <row r="4" spans="1:10" s="325" customFormat="1" x14ac:dyDescent="0.35">
      <c r="A4" s="11" t="s">
        <v>7</v>
      </c>
      <c r="B4" s="113">
        <v>0</v>
      </c>
      <c r="C4" s="113">
        <v>6</v>
      </c>
      <c r="D4" s="113">
        <v>5</v>
      </c>
      <c r="E4" s="113">
        <v>4</v>
      </c>
      <c r="F4" s="114">
        <v>0</v>
      </c>
      <c r="G4" s="143">
        <f>B4+C4+D4+E4+F4</f>
        <v>15</v>
      </c>
      <c r="H4" s="114">
        <v>0</v>
      </c>
      <c r="I4" s="113">
        <v>0</v>
      </c>
      <c r="J4" s="364">
        <f>SUM(G4:I4)</f>
        <v>15</v>
      </c>
    </row>
    <row r="5" spans="1:10" s="325" customFormat="1" x14ac:dyDescent="0.35">
      <c r="A5" s="11" t="s">
        <v>8</v>
      </c>
      <c r="B5" s="115">
        <v>1</v>
      </c>
      <c r="C5" s="115">
        <v>4</v>
      </c>
      <c r="D5" s="115">
        <v>20</v>
      </c>
      <c r="E5" s="115">
        <v>10</v>
      </c>
      <c r="F5" s="94">
        <v>2</v>
      </c>
      <c r="G5" s="143">
        <f t="shared" ref="G5:G15" si="0">B5+C5+D5+E5+F5</f>
        <v>37</v>
      </c>
      <c r="H5" s="94">
        <v>1</v>
      </c>
      <c r="I5" s="115">
        <v>0</v>
      </c>
      <c r="J5" s="365">
        <f t="shared" ref="J5:J16" si="1">SUM(G5:I5)</f>
        <v>38</v>
      </c>
    </row>
    <row r="6" spans="1:10" s="325" customFormat="1" x14ac:dyDescent="0.35">
      <c r="A6" s="11" t="s">
        <v>193</v>
      </c>
      <c r="B6" s="115">
        <v>0</v>
      </c>
      <c r="C6" s="115">
        <v>1</v>
      </c>
      <c r="D6" s="115">
        <v>6</v>
      </c>
      <c r="E6" s="115">
        <v>1</v>
      </c>
      <c r="F6" s="94">
        <v>1</v>
      </c>
      <c r="G6" s="143">
        <f t="shared" si="0"/>
        <v>9</v>
      </c>
      <c r="H6" s="94">
        <v>0</v>
      </c>
      <c r="I6" s="115">
        <v>0</v>
      </c>
      <c r="J6" s="365">
        <f t="shared" si="1"/>
        <v>9</v>
      </c>
    </row>
    <row r="7" spans="1:10" s="325" customFormat="1" x14ac:dyDescent="0.35">
      <c r="A7" s="11" t="s">
        <v>10</v>
      </c>
      <c r="B7" s="115">
        <v>0</v>
      </c>
      <c r="C7" s="115">
        <v>1</v>
      </c>
      <c r="D7" s="115">
        <v>13</v>
      </c>
      <c r="E7" s="115">
        <v>4</v>
      </c>
      <c r="F7" s="94">
        <v>2</v>
      </c>
      <c r="G7" s="143">
        <f t="shared" si="0"/>
        <v>20</v>
      </c>
      <c r="H7" s="94">
        <v>0</v>
      </c>
      <c r="I7" s="115">
        <v>0</v>
      </c>
      <c r="J7" s="365">
        <f t="shared" si="1"/>
        <v>20</v>
      </c>
    </row>
    <row r="8" spans="1:10" s="325" customFormat="1" x14ac:dyDescent="0.35">
      <c r="A8" s="11" t="s">
        <v>11</v>
      </c>
      <c r="B8" s="115">
        <v>1</v>
      </c>
      <c r="C8" s="115">
        <v>0</v>
      </c>
      <c r="D8" s="115">
        <v>12</v>
      </c>
      <c r="E8" s="115">
        <v>3</v>
      </c>
      <c r="F8" s="94">
        <v>0</v>
      </c>
      <c r="G8" s="143">
        <f t="shared" si="0"/>
        <v>16</v>
      </c>
      <c r="H8" s="94">
        <v>0</v>
      </c>
      <c r="I8" s="115">
        <v>0</v>
      </c>
      <c r="J8" s="365">
        <f t="shared" si="1"/>
        <v>16</v>
      </c>
    </row>
    <row r="9" spans="1:10" s="325" customFormat="1" x14ac:dyDescent="0.35">
      <c r="A9" s="11" t="s">
        <v>12</v>
      </c>
      <c r="B9" s="115">
        <v>0</v>
      </c>
      <c r="C9" s="115">
        <v>2</v>
      </c>
      <c r="D9" s="115">
        <v>11</v>
      </c>
      <c r="E9" s="115">
        <v>8</v>
      </c>
      <c r="F9" s="94">
        <v>1</v>
      </c>
      <c r="G9" s="143">
        <f t="shared" si="0"/>
        <v>22</v>
      </c>
      <c r="H9" s="94">
        <v>2</v>
      </c>
      <c r="I9" s="115">
        <v>0</v>
      </c>
      <c r="J9" s="365">
        <f t="shared" si="1"/>
        <v>24</v>
      </c>
    </row>
    <row r="10" spans="1:10" s="325" customFormat="1" x14ac:dyDescent="0.35">
      <c r="A10" s="11" t="s">
        <v>194</v>
      </c>
      <c r="B10" s="115">
        <v>0</v>
      </c>
      <c r="C10" s="115">
        <v>0</v>
      </c>
      <c r="D10" s="115">
        <v>5</v>
      </c>
      <c r="E10" s="115">
        <v>4</v>
      </c>
      <c r="F10" s="94">
        <v>2</v>
      </c>
      <c r="G10" s="143">
        <f t="shared" si="0"/>
        <v>11</v>
      </c>
      <c r="H10" s="94">
        <v>0</v>
      </c>
      <c r="I10" s="115">
        <v>0</v>
      </c>
      <c r="J10" s="365">
        <f t="shared" si="1"/>
        <v>11</v>
      </c>
    </row>
    <row r="11" spans="1:10" s="325" customFormat="1" x14ac:dyDescent="0.35">
      <c r="A11" s="11" t="s">
        <v>195</v>
      </c>
      <c r="B11" s="115">
        <v>0</v>
      </c>
      <c r="C11" s="115">
        <v>0</v>
      </c>
      <c r="D11" s="115">
        <v>1</v>
      </c>
      <c r="E11" s="115">
        <v>0</v>
      </c>
      <c r="F11" s="94">
        <v>0</v>
      </c>
      <c r="G11" s="143">
        <f t="shared" si="0"/>
        <v>1</v>
      </c>
      <c r="H11" s="94">
        <v>0</v>
      </c>
      <c r="I11" s="115">
        <v>0</v>
      </c>
      <c r="J11" s="365">
        <f t="shared" si="1"/>
        <v>1</v>
      </c>
    </row>
    <row r="12" spans="1:10" s="325" customFormat="1" x14ac:dyDescent="0.35">
      <c r="A12" s="11" t="s">
        <v>14</v>
      </c>
      <c r="B12" s="115">
        <v>0</v>
      </c>
      <c r="C12" s="115">
        <v>0</v>
      </c>
      <c r="D12" s="115">
        <v>3</v>
      </c>
      <c r="E12" s="115">
        <v>0</v>
      </c>
      <c r="F12" s="94">
        <v>1</v>
      </c>
      <c r="G12" s="143">
        <f t="shared" si="0"/>
        <v>4</v>
      </c>
      <c r="H12" s="94">
        <v>0</v>
      </c>
      <c r="I12" s="115">
        <v>0</v>
      </c>
      <c r="J12" s="365">
        <f t="shared" si="1"/>
        <v>4</v>
      </c>
    </row>
    <row r="13" spans="1:10" s="325" customFormat="1" x14ac:dyDescent="0.35">
      <c r="A13" s="11" t="s">
        <v>15</v>
      </c>
      <c r="B13" s="115">
        <v>0</v>
      </c>
      <c r="C13" s="115">
        <v>1</v>
      </c>
      <c r="D13" s="115">
        <v>3</v>
      </c>
      <c r="E13" s="115">
        <v>2</v>
      </c>
      <c r="F13" s="94">
        <v>0</v>
      </c>
      <c r="G13" s="143">
        <f t="shared" si="0"/>
        <v>6</v>
      </c>
      <c r="H13" s="94">
        <v>0</v>
      </c>
      <c r="I13" s="115">
        <v>0</v>
      </c>
      <c r="J13" s="365">
        <f t="shared" si="1"/>
        <v>6</v>
      </c>
    </row>
    <row r="14" spans="1:10" s="325" customFormat="1" x14ac:dyDescent="0.35">
      <c r="A14" s="11" t="s">
        <v>16</v>
      </c>
      <c r="B14" s="115">
        <v>0</v>
      </c>
      <c r="C14" s="115">
        <v>2</v>
      </c>
      <c r="D14" s="115">
        <v>4</v>
      </c>
      <c r="E14" s="115">
        <v>1</v>
      </c>
      <c r="F14" s="94">
        <v>0</v>
      </c>
      <c r="G14" s="143">
        <f t="shared" si="0"/>
        <v>7</v>
      </c>
      <c r="H14" s="94">
        <v>0</v>
      </c>
      <c r="I14" s="115">
        <v>0</v>
      </c>
      <c r="J14" s="365">
        <f t="shared" si="1"/>
        <v>7</v>
      </c>
    </row>
    <row r="15" spans="1:10" s="325" customFormat="1" x14ac:dyDescent="0.35">
      <c r="A15" s="11" t="s">
        <v>17</v>
      </c>
      <c r="B15" s="115">
        <v>0</v>
      </c>
      <c r="C15" s="115">
        <v>0</v>
      </c>
      <c r="D15" s="115">
        <v>6</v>
      </c>
      <c r="E15" s="115">
        <v>0</v>
      </c>
      <c r="F15" s="94">
        <v>0</v>
      </c>
      <c r="G15" s="143">
        <f t="shared" si="0"/>
        <v>6</v>
      </c>
      <c r="H15" s="94">
        <v>0</v>
      </c>
      <c r="I15" s="115">
        <v>0</v>
      </c>
      <c r="J15" s="365">
        <f t="shared" si="1"/>
        <v>6</v>
      </c>
    </row>
    <row r="16" spans="1:10" s="325" customFormat="1" ht="15" thickBot="1" x14ac:dyDescent="0.4">
      <c r="A16" s="11" t="s">
        <v>196</v>
      </c>
      <c r="B16" s="173">
        <v>0</v>
      </c>
      <c r="C16" s="115">
        <v>3</v>
      </c>
      <c r="D16" s="115">
        <v>10</v>
      </c>
      <c r="E16" s="115">
        <v>4</v>
      </c>
      <c r="F16" s="94">
        <v>1</v>
      </c>
      <c r="G16" s="143">
        <f>B16+C16+D16+E16+F16</f>
        <v>18</v>
      </c>
      <c r="H16" s="94">
        <v>0</v>
      </c>
      <c r="I16" s="115">
        <v>0</v>
      </c>
      <c r="J16" s="366">
        <f t="shared" si="1"/>
        <v>18</v>
      </c>
    </row>
    <row r="17" spans="1:12" s="325" customFormat="1" x14ac:dyDescent="0.35">
      <c r="A17" s="400" t="s">
        <v>19</v>
      </c>
      <c r="B17" s="172">
        <f>SUM(B4:B16)</f>
        <v>2</v>
      </c>
      <c r="C17" s="116">
        <f>SUM(C4:C16)</f>
        <v>20</v>
      </c>
      <c r="D17" s="116">
        <f t="shared" ref="D17:H17" si="2">SUM(D4:D16)</f>
        <v>99</v>
      </c>
      <c r="E17" s="116">
        <f t="shared" si="2"/>
        <v>41</v>
      </c>
      <c r="F17" s="116">
        <f t="shared" si="2"/>
        <v>10</v>
      </c>
      <c r="G17" s="116">
        <f t="shared" si="2"/>
        <v>172</v>
      </c>
      <c r="H17" s="116">
        <f t="shared" si="2"/>
        <v>3</v>
      </c>
      <c r="I17" s="117">
        <f>SUM(I4:I16)</f>
        <v>0</v>
      </c>
      <c r="J17" s="326">
        <f>SUM(J4:J16)</f>
        <v>175</v>
      </c>
      <c r="K17" s="136"/>
      <c r="L17" s="137"/>
    </row>
    <row r="18" spans="1:12" s="325" customFormat="1" ht="15" thickBot="1" x14ac:dyDescent="0.4">
      <c r="A18" s="401"/>
      <c r="B18" s="32">
        <f t="shared" ref="B18:J18" si="3">B17/B30</f>
        <v>0.25</v>
      </c>
      <c r="C18" s="32">
        <f t="shared" si="3"/>
        <v>0.1941747572815534</v>
      </c>
      <c r="D18" s="32">
        <f t="shared" si="3"/>
        <v>0.1853932584269663</v>
      </c>
      <c r="E18" s="32">
        <f t="shared" si="3"/>
        <v>0.15298507462686567</v>
      </c>
      <c r="F18" s="32">
        <f t="shared" si="3"/>
        <v>0.12048192771084337</v>
      </c>
      <c r="G18" s="32">
        <f t="shared" si="3"/>
        <v>0.17269076305220885</v>
      </c>
      <c r="H18" s="32">
        <f t="shared" si="3"/>
        <v>0.14285714285714285</v>
      </c>
      <c r="I18" s="32">
        <v>0</v>
      </c>
      <c r="J18" s="32">
        <f t="shared" si="3"/>
        <v>0.17207472959685349</v>
      </c>
      <c r="K18" s="136"/>
      <c r="L18" s="137"/>
    </row>
    <row r="19" spans="1:12" s="325" customFormat="1" x14ac:dyDescent="0.35">
      <c r="A19" s="12" t="s">
        <v>191</v>
      </c>
      <c r="B19" s="118">
        <v>0</v>
      </c>
      <c r="C19" s="113">
        <v>1</v>
      </c>
      <c r="D19" s="114">
        <v>2</v>
      </c>
      <c r="E19" s="229">
        <v>1</v>
      </c>
      <c r="F19" s="114">
        <v>0</v>
      </c>
      <c r="G19" s="117">
        <f>B19+C19+D19+E19+F19</f>
        <v>4</v>
      </c>
      <c r="H19" s="29">
        <v>0</v>
      </c>
      <c r="I19" s="29">
        <v>0</v>
      </c>
      <c r="J19" s="364">
        <f>SUM(G19:H19)</f>
        <v>4</v>
      </c>
      <c r="K19" s="136"/>
      <c r="L19" s="137"/>
    </row>
    <row r="20" spans="1:12" s="325" customFormat="1" x14ac:dyDescent="0.35">
      <c r="A20" s="13" t="s">
        <v>20</v>
      </c>
      <c r="B20" s="119">
        <v>0</v>
      </c>
      <c r="C20" s="115">
        <v>1</v>
      </c>
      <c r="D20" s="94">
        <v>6</v>
      </c>
      <c r="E20" s="228">
        <v>2</v>
      </c>
      <c r="F20" s="94">
        <v>0</v>
      </c>
      <c r="G20" s="326">
        <f>B20+C20+D20+E20+F20</f>
        <v>9</v>
      </c>
      <c r="H20" s="30">
        <v>0</v>
      </c>
      <c r="I20" s="30">
        <v>0</v>
      </c>
      <c r="J20" s="365">
        <f>SUM(G20:I20)</f>
        <v>9</v>
      </c>
      <c r="K20" s="136"/>
      <c r="L20" s="137"/>
    </row>
    <row r="21" spans="1:12" s="363" customFormat="1" x14ac:dyDescent="0.35">
      <c r="A21" s="13" t="s">
        <v>23</v>
      </c>
      <c r="B21" s="119">
        <v>0</v>
      </c>
      <c r="C21" s="115">
        <v>0</v>
      </c>
      <c r="D21" s="94">
        <v>5</v>
      </c>
      <c r="E21" s="228">
        <v>3</v>
      </c>
      <c r="F21" s="94">
        <v>0</v>
      </c>
      <c r="G21" s="326">
        <f>B21+C21+D21+E21+F21</f>
        <v>8</v>
      </c>
      <c r="H21" s="30">
        <v>0</v>
      </c>
      <c r="I21" s="30">
        <v>0</v>
      </c>
      <c r="J21" s="365">
        <f>SUM(G21:I21)</f>
        <v>8</v>
      </c>
      <c r="K21" s="136"/>
      <c r="L21" s="137"/>
    </row>
    <row r="22" spans="1:12" s="325" customFormat="1" ht="15" thickBot="1" x14ac:dyDescent="0.4">
      <c r="A22" s="14" t="s">
        <v>21</v>
      </c>
      <c r="B22" s="120">
        <v>0</v>
      </c>
      <c r="C22" s="173">
        <v>1</v>
      </c>
      <c r="D22" s="95">
        <v>7</v>
      </c>
      <c r="E22" s="230">
        <v>2</v>
      </c>
      <c r="F22" s="95">
        <v>0</v>
      </c>
      <c r="G22" s="367">
        <f>B22+C22+D22+E22+F22</f>
        <v>10</v>
      </c>
      <c r="H22" s="31">
        <v>2</v>
      </c>
      <c r="I22" s="30">
        <v>0</v>
      </c>
      <c r="J22" s="365">
        <f>SUM(G22:I22)</f>
        <v>12</v>
      </c>
      <c r="K22" s="136"/>
      <c r="L22" s="137"/>
    </row>
    <row r="23" spans="1:12" s="325" customFormat="1" x14ac:dyDescent="0.35">
      <c r="A23" s="400" t="s">
        <v>22</v>
      </c>
      <c r="B23" s="116">
        <f t="shared" ref="B23:I23" si="4">SUM(B19:B22)</f>
        <v>0</v>
      </c>
      <c r="C23" s="116">
        <f t="shared" si="4"/>
        <v>3</v>
      </c>
      <c r="D23" s="116">
        <f t="shared" si="4"/>
        <v>20</v>
      </c>
      <c r="E23" s="116">
        <f t="shared" si="4"/>
        <v>8</v>
      </c>
      <c r="F23" s="116">
        <f t="shared" si="4"/>
        <v>0</v>
      </c>
      <c r="G23" s="116">
        <f t="shared" si="4"/>
        <v>31</v>
      </c>
      <c r="H23" s="116">
        <f t="shared" si="4"/>
        <v>2</v>
      </c>
      <c r="I23" s="116">
        <f t="shared" si="4"/>
        <v>0</v>
      </c>
      <c r="J23" s="116">
        <f>SUM(G23:I23)</f>
        <v>33</v>
      </c>
      <c r="K23" s="136"/>
      <c r="L23" s="137"/>
    </row>
    <row r="24" spans="1:12" s="325" customFormat="1" ht="15" thickBot="1" x14ac:dyDescent="0.4">
      <c r="A24" s="401"/>
      <c r="B24" s="368">
        <f t="shared" ref="B24:H24" si="5">B23/B30</f>
        <v>0</v>
      </c>
      <c r="C24" s="368">
        <f>C23/C30</f>
        <v>2.9126213592233011E-2</v>
      </c>
      <c r="D24" s="368">
        <f t="shared" si="5"/>
        <v>3.7453183520599252E-2</v>
      </c>
      <c r="E24" s="368">
        <f t="shared" si="5"/>
        <v>2.9850746268656716E-2</v>
      </c>
      <c r="F24" s="368">
        <f t="shared" si="5"/>
        <v>0</v>
      </c>
      <c r="G24" s="368">
        <f t="shared" si="5"/>
        <v>3.112449799196787E-2</v>
      </c>
      <c r="H24" s="368">
        <f t="shared" si="5"/>
        <v>9.5238095238095233E-2</v>
      </c>
      <c r="I24" s="368">
        <v>0</v>
      </c>
      <c r="J24" s="368">
        <f t="shared" ref="J24" si="6">J23/J30</f>
        <v>3.2448377581120944E-2</v>
      </c>
      <c r="K24" s="137"/>
      <c r="L24" s="137"/>
    </row>
    <row r="25" spans="1:12" s="325" customFormat="1" x14ac:dyDescent="0.35">
      <c r="A25" s="12" t="s">
        <v>24</v>
      </c>
      <c r="B25" s="118">
        <v>6</v>
      </c>
      <c r="C25" s="114">
        <v>75</v>
      </c>
      <c r="D25" s="114">
        <v>398</v>
      </c>
      <c r="E25" s="114">
        <v>209</v>
      </c>
      <c r="F25" s="114">
        <v>72</v>
      </c>
      <c r="G25" s="117">
        <f>B25+C25+D25+E25+F25</f>
        <v>760</v>
      </c>
      <c r="H25" s="29">
        <v>14</v>
      </c>
      <c r="I25" s="29">
        <v>0</v>
      </c>
      <c r="J25" s="364">
        <f>SUM(G25:I25)</f>
        <v>774</v>
      </c>
      <c r="K25" s="136"/>
      <c r="L25" s="137"/>
    </row>
    <row r="26" spans="1:12" s="325" customFormat="1" x14ac:dyDescent="0.35">
      <c r="A26" s="13" t="s">
        <v>25</v>
      </c>
      <c r="B26" s="119">
        <v>0</v>
      </c>
      <c r="C26" s="94">
        <v>4</v>
      </c>
      <c r="D26" s="94">
        <v>6</v>
      </c>
      <c r="E26" s="94">
        <v>6</v>
      </c>
      <c r="F26" s="94">
        <v>1</v>
      </c>
      <c r="G26" s="326">
        <f>B26+C26+D26+E26+F26</f>
        <v>17</v>
      </c>
      <c r="H26" s="30">
        <v>2</v>
      </c>
      <c r="I26" s="30">
        <v>0</v>
      </c>
      <c r="J26" s="365">
        <f>SUM(G26:I26)</f>
        <v>19</v>
      </c>
      <c r="K26" s="136"/>
      <c r="L26" s="137"/>
    </row>
    <row r="27" spans="1:12" s="325" customFormat="1" ht="15" thickBot="1" x14ac:dyDescent="0.4">
      <c r="A27" s="14" t="s">
        <v>18</v>
      </c>
      <c r="B27" s="120">
        <v>0</v>
      </c>
      <c r="C27" s="95">
        <v>1</v>
      </c>
      <c r="D27" s="95">
        <v>11</v>
      </c>
      <c r="E27" s="95">
        <v>4</v>
      </c>
      <c r="F27" s="95">
        <v>0</v>
      </c>
      <c r="G27" s="367">
        <f>B27+C27+D27+E27+F27</f>
        <v>16</v>
      </c>
      <c r="H27" s="31">
        <v>0</v>
      </c>
      <c r="I27" s="31">
        <v>0</v>
      </c>
      <c r="J27" s="366">
        <f>SUM(G27:I27)</f>
        <v>16</v>
      </c>
      <c r="K27" s="136"/>
      <c r="L27" s="137"/>
    </row>
    <row r="28" spans="1:12" s="325" customFormat="1" x14ac:dyDescent="0.35">
      <c r="A28" s="400" t="s">
        <v>55</v>
      </c>
      <c r="B28" s="227">
        <f>SUM(B25:B27)</f>
        <v>6</v>
      </c>
      <c r="C28" s="225">
        <f>SUM(C25:C27)</f>
        <v>80</v>
      </c>
      <c r="D28" s="227">
        <f t="shared" ref="D28:H28" si="7">SUM(D25:D27)</f>
        <v>415</v>
      </c>
      <c r="E28" s="227">
        <f t="shared" si="7"/>
        <v>219</v>
      </c>
      <c r="F28" s="226">
        <f t="shared" si="7"/>
        <v>73</v>
      </c>
      <c r="G28" s="96">
        <f t="shared" si="7"/>
        <v>793</v>
      </c>
      <c r="H28" s="18">
        <f t="shared" si="7"/>
        <v>16</v>
      </c>
      <c r="I28" s="18">
        <v>0</v>
      </c>
      <c r="J28" s="135">
        <f>SUM(J25:J27)</f>
        <v>809</v>
      </c>
      <c r="K28" s="136"/>
      <c r="L28" s="137"/>
    </row>
    <row r="29" spans="1:12" s="325" customFormat="1" ht="15" thickBot="1" x14ac:dyDescent="0.4">
      <c r="A29" s="401"/>
      <c r="B29" s="368">
        <f t="shared" ref="B29:H29" si="8">B28/B30</f>
        <v>0.75</v>
      </c>
      <c r="C29" s="368">
        <f t="shared" si="8"/>
        <v>0.77669902912621358</v>
      </c>
      <c r="D29" s="368">
        <f t="shared" si="8"/>
        <v>0.77715355805243447</v>
      </c>
      <c r="E29" s="368">
        <f t="shared" si="8"/>
        <v>0.81716417910447758</v>
      </c>
      <c r="F29" s="368">
        <f t="shared" si="8"/>
        <v>0.87951807228915657</v>
      </c>
      <c r="G29" s="368">
        <f t="shared" si="8"/>
        <v>0.79618473895582331</v>
      </c>
      <c r="H29" s="368">
        <f t="shared" si="8"/>
        <v>0.76190476190476186</v>
      </c>
      <c r="I29" s="368">
        <v>0</v>
      </c>
      <c r="J29" s="368">
        <f t="shared" ref="J29" si="9">J28/J30</f>
        <v>0.79547689282202561</v>
      </c>
      <c r="L29" s="137"/>
    </row>
    <row r="30" spans="1:12" s="325" customFormat="1" ht="15" thickBot="1" x14ac:dyDescent="0.4">
      <c r="A30" s="161" t="s">
        <v>2</v>
      </c>
      <c r="B30" s="167">
        <f t="shared" ref="B30:J30" si="10">B17+B23+B28</f>
        <v>8</v>
      </c>
      <c r="C30" s="167">
        <f t="shared" si="10"/>
        <v>103</v>
      </c>
      <c r="D30" s="167">
        <f t="shared" si="10"/>
        <v>534</v>
      </c>
      <c r="E30" s="167">
        <f t="shared" si="10"/>
        <v>268</v>
      </c>
      <c r="F30" s="167">
        <f t="shared" si="10"/>
        <v>83</v>
      </c>
      <c r="G30" s="167">
        <f t="shared" si="10"/>
        <v>996</v>
      </c>
      <c r="H30" s="167">
        <f t="shared" si="10"/>
        <v>21</v>
      </c>
      <c r="I30" s="167">
        <f t="shared" si="10"/>
        <v>0</v>
      </c>
      <c r="J30" s="231">
        <f t="shared" si="10"/>
        <v>1017</v>
      </c>
      <c r="K30" s="162"/>
      <c r="L30" s="137"/>
    </row>
    <row r="31" spans="1:12" s="325" customFormat="1" ht="15" thickBot="1" x14ac:dyDescent="0.4">
      <c r="A31" s="82"/>
      <c r="B31" s="10"/>
      <c r="C31" s="10"/>
      <c r="D31" s="10"/>
      <c r="E31" s="10"/>
      <c r="F31" s="10"/>
      <c r="G31" s="10"/>
    </row>
    <row r="32" spans="1:12" s="325" customFormat="1" ht="15" thickBot="1" x14ac:dyDescent="0.4">
      <c r="A32" s="204" t="s">
        <v>42</v>
      </c>
      <c r="B32" s="277">
        <v>0.3</v>
      </c>
      <c r="C32" s="277">
        <v>0.14285714285714285</v>
      </c>
      <c r="D32" s="277">
        <v>0.16914498141263939</v>
      </c>
      <c r="E32" s="277">
        <v>0.16796875</v>
      </c>
      <c r="F32" s="277">
        <v>8.0459770114942528E-2</v>
      </c>
      <c r="G32" s="277">
        <v>0.15963855421686746</v>
      </c>
      <c r="H32" s="277">
        <v>0.17647058823529413</v>
      </c>
      <c r="I32" s="277">
        <v>0</v>
      </c>
      <c r="J32" s="277">
        <v>0.15992102665350444</v>
      </c>
    </row>
    <row r="33" spans="1:7" s="325" customFormat="1" ht="15" thickBot="1" x14ac:dyDescent="0.4">
      <c r="A33" s="205" t="s">
        <v>189</v>
      </c>
      <c r="B33" s="10"/>
      <c r="C33" s="10"/>
      <c r="D33" s="10"/>
      <c r="E33" s="10"/>
      <c r="F33" s="10"/>
      <c r="G33" s="10"/>
    </row>
    <row r="34" spans="1:7" s="325" customFormat="1" x14ac:dyDescent="0.35">
      <c r="B34" s="10"/>
      <c r="C34" s="10"/>
      <c r="D34" s="10"/>
      <c r="E34" s="10"/>
      <c r="F34" s="10"/>
      <c r="G34" s="10"/>
    </row>
    <row r="35" spans="1:7" s="325" customFormat="1" x14ac:dyDescent="0.35">
      <c r="B35" s="10"/>
      <c r="C35" s="10"/>
      <c r="D35" s="10"/>
      <c r="E35" s="10"/>
      <c r="F35" s="10"/>
      <c r="G35" s="10"/>
    </row>
    <row r="36" spans="1:7" s="325" customFormat="1" x14ac:dyDescent="0.35">
      <c r="A36" s="9" t="s">
        <v>145</v>
      </c>
      <c r="B36" s="10"/>
      <c r="C36" s="10"/>
      <c r="D36" s="10"/>
      <c r="E36" s="10"/>
      <c r="F36" s="10"/>
      <c r="G36" s="10"/>
    </row>
    <row r="37" spans="1:7" x14ac:dyDescent="0.35">
      <c r="A37" s="9" t="s">
        <v>153</v>
      </c>
    </row>
    <row r="38" spans="1:7" x14ac:dyDescent="0.35">
      <c r="A38" s="9"/>
    </row>
  </sheetData>
  <mergeCells count="4">
    <mergeCell ref="A28:A29"/>
    <mergeCell ref="A23:A24"/>
    <mergeCell ref="A17:A18"/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L20"/>
  <sheetViews>
    <sheetView workbookViewId="0">
      <selection sqref="A1:L1"/>
    </sheetView>
  </sheetViews>
  <sheetFormatPr defaultRowHeight="14.5" x14ac:dyDescent="0.35"/>
  <cols>
    <col min="1" max="1" width="19.26953125" customWidth="1"/>
  </cols>
  <sheetData>
    <row r="1" spans="1:12" x14ac:dyDescent="0.35">
      <c r="A1" s="452" t="s">
        <v>207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</row>
    <row r="2" spans="1:12" ht="15" thickBot="1" x14ac:dyDescent="0.4"/>
    <row r="3" spans="1:12" ht="15" thickBot="1" x14ac:dyDescent="0.4">
      <c r="A3" s="232"/>
      <c r="B3" s="454" t="s">
        <v>86</v>
      </c>
      <c r="C3" s="451"/>
      <c r="D3" s="450" t="s">
        <v>87</v>
      </c>
      <c r="E3" s="451"/>
      <c r="F3" s="450" t="s">
        <v>88</v>
      </c>
      <c r="G3" s="451"/>
    </row>
    <row r="4" spans="1:12" ht="15" thickBot="1" x14ac:dyDescent="0.4">
      <c r="A4" s="233"/>
      <c r="B4" s="234" t="s">
        <v>89</v>
      </c>
      <c r="C4" s="235" t="s">
        <v>90</v>
      </c>
      <c r="D4" s="235" t="s">
        <v>89</v>
      </c>
      <c r="E4" s="235" t="s">
        <v>90</v>
      </c>
      <c r="F4" s="235" t="s">
        <v>89</v>
      </c>
      <c r="G4" s="235" t="s">
        <v>90</v>
      </c>
    </row>
    <row r="5" spans="1:12" ht="30.75" customHeight="1" thickBot="1" x14ac:dyDescent="0.4">
      <c r="A5" s="236" t="s">
        <v>43</v>
      </c>
      <c r="B5" s="292">
        <v>2</v>
      </c>
      <c r="C5" s="293">
        <f>B5/$B$8</f>
        <v>1</v>
      </c>
      <c r="D5" s="294">
        <v>1</v>
      </c>
      <c r="E5" s="293">
        <f>D5/$D$8</f>
        <v>0.33333333333333331</v>
      </c>
      <c r="F5" s="294">
        <v>0</v>
      </c>
      <c r="G5" s="293" t="e">
        <f>F5/$F$8</f>
        <v>#DIV/0!</v>
      </c>
    </row>
    <row r="6" spans="1:12" ht="15" thickBot="1" x14ac:dyDescent="0.4">
      <c r="A6" s="237" t="s">
        <v>94</v>
      </c>
      <c r="B6" s="292">
        <v>0</v>
      </c>
      <c r="C6" s="293">
        <f>B6/$B$8</f>
        <v>0</v>
      </c>
      <c r="D6" s="294">
        <v>2</v>
      </c>
      <c r="E6" s="293">
        <f t="shared" ref="E6:E7" si="0">D6/$D$8</f>
        <v>0.66666666666666663</v>
      </c>
      <c r="F6" s="294">
        <v>0</v>
      </c>
      <c r="G6" s="293" t="e">
        <f t="shared" ref="G6:G8" si="1">F6/$F$8</f>
        <v>#DIV/0!</v>
      </c>
    </row>
    <row r="7" spans="1:12" ht="15" thickBot="1" x14ac:dyDescent="0.4">
      <c r="A7" s="245" t="s">
        <v>30</v>
      </c>
      <c r="B7" s="292">
        <v>0</v>
      </c>
      <c r="C7" s="293">
        <f>B7/$B$8</f>
        <v>0</v>
      </c>
      <c r="D7" s="294">
        <v>0</v>
      </c>
      <c r="E7" s="293">
        <f t="shared" si="0"/>
        <v>0</v>
      </c>
      <c r="F7" s="294">
        <v>0</v>
      </c>
      <c r="G7" s="293" t="e">
        <f t="shared" si="1"/>
        <v>#DIV/0!</v>
      </c>
    </row>
    <row r="8" spans="1:12" ht="15" thickBot="1" x14ac:dyDescent="0.4">
      <c r="A8" s="238" t="s">
        <v>2</v>
      </c>
      <c r="B8" s="295">
        <f>SUM(B5:B7)</f>
        <v>2</v>
      </c>
      <c r="C8" s="293">
        <f>B8/$B$8</f>
        <v>1</v>
      </c>
      <c r="D8" s="296">
        <f>SUM(D5:D7)</f>
        <v>3</v>
      </c>
      <c r="E8" s="293">
        <f>D8/$D$8</f>
        <v>1</v>
      </c>
      <c r="F8" s="296">
        <f>SUM(F5:F7)</f>
        <v>0</v>
      </c>
      <c r="G8" s="293" t="e">
        <f t="shared" si="1"/>
        <v>#DIV/0!</v>
      </c>
    </row>
    <row r="9" spans="1:12" ht="15" thickBot="1" x14ac:dyDescent="0.4">
      <c r="A9" s="239"/>
      <c r="B9" s="292"/>
      <c r="C9" s="293"/>
      <c r="D9" s="294"/>
      <c r="E9" s="293"/>
      <c r="F9" s="294"/>
      <c r="G9" s="293"/>
    </row>
    <row r="10" spans="1:12" ht="15" thickBot="1" x14ac:dyDescent="0.4">
      <c r="A10" s="239" t="s">
        <v>38</v>
      </c>
      <c r="B10" s="292">
        <v>2</v>
      </c>
      <c r="C10" s="293">
        <f>B10/$B$12</f>
        <v>1</v>
      </c>
      <c r="D10" s="294">
        <v>0</v>
      </c>
      <c r="E10" s="293">
        <f>D10/$D$12</f>
        <v>0</v>
      </c>
      <c r="F10" s="294">
        <v>0</v>
      </c>
      <c r="G10" s="293" t="e">
        <f>F10/$F$12</f>
        <v>#DIV/0!</v>
      </c>
    </row>
    <row r="11" spans="1:12" ht="15" thickBot="1" x14ac:dyDescent="0.4">
      <c r="A11" s="240" t="s">
        <v>37</v>
      </c>
      <c r="B11" s="292">
        <v>0</v>
      </c>
      <c r="C11" s="293">
        <f t="shared" ref="C11:C12" si="2">B11/$B$12</f>
        <v>0</v>
      </c>
      <c r="D11" s="294">
        <v>3</v>
      </c>
      <c r="E11" s="293">
        <f t="shared" ref="E11:E12" si="3">D11/$D$12</f>
        <v>1</v>
      </c>
      <c r="F11" s="294">
        <v>0</v>
      </c>
      <c r="G11" s="293" t="e">
        <f t="shared" ref="G11:G12" si="4">F11/$F$12</f>
        <v>#DIV/0!</v>
      </c>
    </row>
    <row r="12" spans="1:12" ht="15" thickBot="1" x14ac:dyDescent="0.4">
      <c r="A12" s="241" t="s">
        <v>2</v>
      </c>
      <c r="B12" s="297">
        <f>SUM(B10:B11)</f>
        <v>2</v>
      </c>
      <c r="C12" s="293">
        <f t="shared" si="2"/>
        <v>1</v>
      </c>
      <c r="D12" s="298">
        <f>SUM(D10:D11)</f>
        <v>3</v>
      </c>
      <c r="E12" s="293">
        <f t="shared" si="3"/>
        <v>1</v>
      </c>
      <c r="F12" s="298">
        <f>SUM(F10:F11)</f>
        <v>0</v>
      </c>
      <c r="G12" s="293" t="e">
        <f t="shared" si="4"/>
        <v>#DIV/0!</v>
      </c>
    </row>
    <row r="14" spans="1:12" x14ac:dyDescent="0.35">
      <c r="A14" s="347"/>
    </row>
    <row r="17" spans="1:4" ht="15" customHeight="1" x14ac:dyDescent="0.35">
      <c r="A17" s="453"/>
      <c r="B17" s="453"/>
      <c r="C17" s="453"/>
      <c r="D17" s="453"/>
    </row>
    <row r="18" spans="1:4" x14ac:dyDescent="0.35">
      <c r="A18" s="453"/>
      <c r="B18" s="453"/>
      <c r="C18" s="453"/>
      <c r="D18" s="453"/>
    </row>
    <row r="20" spans="1:4" x14ac:dyDescent="0.35">
      <c r="A20" s="244"/>
      <c r="B20" s="244"/>
      <c r="C20" s="244"/>
      <c r="D20" s="244"/>
    </row>
  </sheetData>
  <mergeCells count="8">
    <mergeCell ref="F3:G3"/>
    <mergeCell ref="A1:L1"/>
    <mergeCell ref="A17:A18"/>
    <mergeCell ref="B17:B18"/>
    <mergeCell ref="C17:C18"/>
    <mergeCell ref="D17:D18"/>
    <mergeCell ref="B3:C3"/>
    <mergeCell ref="D3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N43"/>
  <sheetViews>
    <sheetView workbookViewId="0"/>
  </sheetViews>
  <sheetFormatPr defaultColWidth="9.1796875" defaultRowHeight="14.5" x14ac:dyDescent="0.35"/>
  <cols>
    <col min="1" max="1" width="31.1796875" style="20" customWidth="1"/>
    <col min="2" max="3" width="9.1796875" style="20"/>
    <col min="4" max="4" width="11.54296875" style="20" customWidth="1"/>
    <col min="5" max="5" width="9.54296875" style="20" bestFit="1" customWidth="1"/>
    <col min="6" max="6" width="1.81640625" style="20" customWidth="1"/>
    <col min="7" max="7" width="31.54296875" style="20" bestFit="1" customWidth="1"/>
    <col min="8" max="9" width="9.1796875" style="20"/>
    <col min="10" max="10" width="11.1796875" style="20" customWidth="1"/>
    <col min="11" max="11" width="9.1796875" style="20"/>
    <col min="12" max="12" width="28.54296875" style="20" customWidth="1"/>
    <col min="13" max="13" width="13.54296875" style="20" customWidth="1"/>
    <col min="14" max="14" width="16.453125" style="20" customWidth="1"/>
    <col min="15" max="16384" width="9.1796875" style="20"/>
  </cols>
  <sheetData>
    <row r="1" spans="1:14" x14ac:dyDescent="0.35">
      <c r="A1" s="26" t="s">
        <v>69</v>
      </c>
      <c r="G1" s="26" t="s">
        <v>70</v>
      </c>
      <c r="L1" s="455" t="s">
        <v>125</v>
      </c>
      <c r="M1" s="455"/>
      <c r="N1" s="455"/>
    </row>
    <row r="3" spans="1:14" ht="43.5" x14ac:dyDescent="0.35">
      <c r="A3" s="147" t="s">
        <v>71</v>
      </c>
      <c r="B3" s="280" t="s">
        <v>72</v>
      </c>
      <c r="C3" s="280" t="s">
        <v>73</v>
      </c>
      <c r="D3" s="148" t="s">
        <v>74</v>
      </c>
      <c r="G3" s="147" t="s">
        <v>71</v>
      </c>
      <c r="H3" s="280" t="s">
        <v>75</v>
      </c>
      <c r="I3" s="280" t="s">
        <v>76</v>
      </c>
      <c r="J3" s="148" t="s">
        <v>74</v>
      </c>
      <c r="L3" s="147" t="s">
        <v>71</v>
      </c>
      <c r="M3" s="280" t="s">
        <v>102</v>
      </c>
    </row>
    <row r="4" spans="1:14" x14ac:dyDescent="0.35">
      <c r="A4" s="283" t="s">
        <v>77</v>
      </c>
      <c r="B4" s="210">
        <v>55</v>
      </c>
      <c r="C4" s="210">
        <v>378</v>
      </c>
      <c r="D4" s="284">
        <f>(100/433)*B4</f>
        <v>12.702078521939953</v>
      </c>
      <c r="G4" s="283" t="s">
        <v>77</v>
      </c>
      <c r="H4" s="210">
        <v>51</v>
      </c>
      <c r="I4" s="210">
        <v>384</v>
      </c>
      <c r="J4" s="284">
        <f>(100/433)*H4</f>
        <v>11.778290993071593</v>
      </c>
      <c r="L4" s="283" t="s">
        <v>77</v>
      </c>
      <c r="M4" s="210">
        <v>9</v>
      </c>
    </row>
    <row r="5" spans="1:14" x14ac:dyDescent="0.35">
      <c r="A5" s="283" t="s">
        <v>78</v>
      </c>
      <c r="B5" s="210">
        <v>47</v>
      </c>
      <c r="C5" s="210">
        <v>368</v>
      </c>
      <c r="D5" s="284">
        <f>(100/415)*B5</f>
        <v>11.325301204819278</v>
      </c>
      <c r="G5" s="283" t="s">
        <v>78</v>
      </c>
      <c r="H5" s="210">
        <v>50</v>
      </c>
      <c r="I5" s="210">
        <v>365</v>
      </c>
      <c r="J5" s="284">
        <f>(100/415)*H5</f>
        <v>12.048192771084338</v>
      </c>
      <c r="L5" s="283" t="s">
        <v>78</v>
      </c>
      <c r="M5" s="210">
        <v>8</v>
      </c>
    </row>
    <row r="6" spans="1:14" x14ac:dyDescent="0.35">
      <c r="A6" s="283" t="s">
        <v>79</v>
      </c>
      <c r="B6" s="210">
        <v>43</v>
      </c>
      <c r="C6" s="210">
        <v>335</v>
      </c>
      <c r="D6" s="284">
        <f>(100/378)*B6</f>
        <v>11.375661375661375</v>
      </c>
      <c r="G6" s="283" t="s">
        <v>79</v>
      </c>
      <c r="H6" s="210">
        <v>38</v>
      </c>
      <c r="I6" s="210">
        <v>340</v>
      </c>
      <c r="J6" s="284">
        <f>(100/378)*H6</f>
        <v>10.052910052910052</v>
      </c>
      <c r="L6" s="283" t="s">
        <v>79</v>
      </c>
      <c r="M6" s="210">
        <v>4</v>
      </c>
    </row>
    <row r="7" spans="1:14" x14ac:dyDescent="0.35">
      <c r="A7" s="285" t="s">
        <v>80</v>
      </c>
      <c r="B7" s="210">
        <v>46</v>
      </c>
      <c r="C7" s="210">
        <v>320</v>
      </c>
      <c r="D7" s="284">
        <f>(100/366)*B7</f>
        <v>12.568306010928962</v>
      </c>
      <c r="G7" s="285" t="s">
        <v>80</v>
      </c>
      <c r="H7" s="210">
        <v>40</v>
      </c>
      <c r="I7" s="210">
        <v>326</v>
      </c>
      <c r="J7" s="284">
        <f>(100/366)*H7</f>
        <v>10.928961748633881</v>
      </c>
      <c r="L7" s="285" t="s">
        <v>80</v>
      </c>
      <c r="M7" s="210">
        <v>4</v>
      </c>
    </row>
    <row r="8" spans="1:14" x14ac:dyDescent="0.35">
      <c r="A8" s="285" t="s">
        <v>81</v>
      </c>
      <c r="B8" s="210">
        <v>31</v>
      </c>
      <c r="C8" s="210">
        <f>'[1]No ex-police staff'!C34+'[1]No ex-police staff'!C33</f>
        <v>349</v>
      </c>
      <c r="D8" s="284">
        <f>(100/366)*B8</f>
        <v>8.4699453551912569</v>
      </c>
      <c r="E8" s="286"/>
      <c r="G8" s="285" t="s">
        <v>81</v>
      </c>
      <c r="H8" s="210">
        <v>25</v>
      </c>
      <c r="I8" s="210">
        <f>'[1]No ex-police staff'!C34+'[1]No ex-police staff'!C32</f>
        <v>355</v>
      </c>
      <c r="J8" s="284">
        <f>(100/366)*H8</f>
        <v>6.8306010928961758</v>
      </c>
      <c r="L8" s="285" t="s">
        <v>81</v>
      </c>
      <c r="M8" s="210">
        <v>3</v>
      </c>
    </row>
    <row r="9" spans="1:14" x14ac:dyDescent="0.35">
      <c r="A9" s="285" t="s">
        <v>82</v>
      </c>
      <c r="B9" s="210">
        <v>80</v>
      </c>
      <c r="C9" s="210">
        <v>480</v>
      </c>
      <c r="D9" s="284">
        <f>(100/560)*B9</f>
        <v>14.285714285714286</v>
      </c>
      <c r="G9" s="285" t="s">
        <v>82</v>
      </c>
      <c r="H9" s="210">
        <v>71</v>
      </c>
      <c r="I9" s="210">
        <v>489</v>
      </c>
      <c r="J9" s="284">
        <f>(100/560)*H9</f>
        <v>12.678571428571429</v>
      </c>
      <c r="L9" s="285" t="s">
        <v>82</v>
      </c>
      <c r="M9" s="210">
        <v>10</v>
      </c>
    </row>
    <row r="10" spans="1:14" x14ac:dyDescent="0.35">
      <c r="A10" s="285" t="s">
        <v>83</v>
      </c>
      <c r="B10" s="210">
        <v>98</v>
      </c>
      <c r="C10" s="210">
        <v>568</v>
      </c>
      <c r="D10" s="284">
        <f>(100/666)*B10</f>
        <v>14.714714714714715</v>
      </c>
      <c r="G10" s="285" t="s">
        <v>83</v>
      </c>
      <c r="H10" s="210">
        <v>90</v>
      </c>
      <c r="I10" s="210">
        <v>576</v>
      </c>
      <c r="J10" s="284">
        <f>(100/666)*H10</f>
        <v>13.513513513513514</v>
      </c>
      <c r="L10" s="285" t="s">
        <v>83</v>
      </c>
      <c r="M10" s="210">
        <v>13</v>
      </c>
    </row>
    <row r="11" spans="1:14" x14ac:dyDescent="0.35">
      <c r="A11" s="285" t="s">
        <v>84</v>
      </c>
      <c r="B11" s="210">
        <v>107</v>
      </c>
      <c r="C11" s="210">
        <v>697</v>
      </c>
      <c r="D11" s="284">
        <f>(100/804)*B11</f>
        <v>13.308457711442786</v>
      </c>
      <c r="G11" s="285" t="s">
        <v>84</v>
      </c>
      <c r="H11" s="210">
        <v>102</v>
      </c>
      <c r="I11" s="210">
        <v>702</v>
      </c>
      <c r="J11" s="284">
        <f>(100/804)*H11</f>
        <v>12.686567164179104</v>
      </c>
      <c r="L11" s="285" t="s">
        <v>84</v>
      </c>
      <c r="M11" s="210">
        <v>15</v>
      </c>
    </row>
    <row r="12" spans="1:14" x14ac:dyDescent="0.35">
      <c r="A12" s="285" t="s">
        <v>85</v>
      </c>
      <c r="B12" s="210">
        <v>115</v>
      </c>
      <c r="C12" s="210">
        <v>740</v>
      </c>
      <c r="D12" s="284">
        <f>(100/855)*B12</f>
        <v>13.450292397660817</v>
      </c>
      <c r="G12" s="285" t="s">
        <v>85</v>
      </c>
      <c r="H12" s="210">
        <v>105</v>
      </c>
      <c r="I12" s="210">
        <v>750</v>
      </c>
      <c r="J12" s="284">
        <f>(100/855)*H12</f>
        <v>12.280701754385964</v>
      </c>
      <c r="L12" s="285" t="s">
        <v>85</v>
      </c>
      <c r="M12" s="210">
        <v>18</v>
      </c>
    </row>
    <row r="13" spans="1:14" x14ac:dyDescent="0.35">
      <c r="A13" s="283" t="s">
        <v>92</v>
      </c>
      <c r="B13" s="210">
        <v>102</v>
      </c>
      <c r="C13" s="210">
        <v>782</v>
      </c>
      <c r="D13" s="284">
        <f>(100/855)*B13</f>
        <v>11.929824561403509</v>
      </c>
      <c r="G13" s="283" t="s">
        <v>92</v>
      </c>
      <c r="H13" s="210">
        <v>88</v>
      </c>
      <c r="I13" s="210">
        <v>796</v>
      </c>
      <c r="J13" s="284">
        <f>(100/855)*H13</f>
        <v>10.292397660818713</v>
      </c>
      <c r="L13" s="283" t="s">
        <v>92</v>
      </c>
      <c r="M13" s="210">
        <v>18</v>
      </c>
    </row>
    <row r="14" spans="1:14" x14ac:dyDescent="0.35">
      <c r="A14" s="283" t="s">
        <v>99</v>
      </c>
      <c r="B14" s="210">
        <v>96</v>
      </c>
      <c r="C14" s="210">
        <v>781</v>
      </c>
      <c r="D14" s="284">
        <f>(100/877)*B14</f>
        <v>10.946408209806158</v>
      </c>
      <c r="G14" s="283" t="s">
        <v>99</v>
      </c>
      <c r="H14" s="210">
        <v>86</v>
      </c>
      <c r="I14" s="210">
        <v>791</v>
      </c>
      <c r="J14" s="284">
        <f>(100/877)*H14</f>
        <v>9.8061573546180156</v>
      </c>
      <c r="L14" s="283" t="s">
        <v>99</v>
      </c>
      <c r="M14" s="210">
        <v>18</v>
      </c>
    </row>
    <row r="15" spans="1:14" x14ac:dyDescent="0.35">
      <c r="A15" s="285" t="s">
        <v>101</v>
      </c>
      <c r="B15" s="211">
        <v>96</v>
      </c>
      <c r="C15" s="211">
        <v>809</v>
      </c>
      <c r="D15" s="287">
        <f>(100/925)*B15</f>
        <v>10.378378378378379</v>
      </c>
      <c r="E15" s="243"/>
      <c r="F15" s="243"/>
      <c r="G15" s="285" t="s">
        <v>101</v>
      </c>
      <c r="H15" s="211">
        <v>90</v>
      </c>
      <c r="I15" s="211">
        <v>815</v>
      </c>
      <c r="J15" s="287">
        <f>(100/925)*H15</f>
        <v>9.7297297297297298</v>
      </c>
      <c r="L15" s="285" t="s">
        <v>101</v>
      </c>
      <c r="M15" s="211">
        <v>20</v>
      </c>
    </row>
    <row r="16" spans="1:14" x14ac:dyDescent="0.35">
      <c r="A16" s="285" t="s">
        <v>105</v>
      </c>
      <c r="B16" s="214">
        <v>92</v>
      </c>
      <c r="C16" s="211">
        <f>929-B16-M16</f>
        <v>816</v>
      </c>
      <c r="D16" s="287">
        <f>(100/929)*B16</f>
        <v>9.9031216361679224</v>
      </c>
      <c r="E16" s="243"/>
      <c r="F16" s="243"/>
      <c r="G16" s="285" t="s">
        <v>105</v>
      </c>
      <c r="H16" s="214">
        <v>88</v>
      </c>
      <c r="I16" s="211">
        <f>929-H16-M16</f>
        <v>820</v>
      </c>
      <c r="J16" s="287">
        <f>(100/929)*H16</f>
        <v>9.4725511302475773</v>
      </c>
      <c r="L16" s="285" t="s">
        <v>105</v>
      </c>
      <c r="M16" s="214">
        <v>21</v>
      </c>
    </row>
    <row r="17" spans="1:13" x14ac:dyDescent="0.35">
      <c r="A17" s="285" t="s">
        <v>108</v>
      </c>
      <c r="B17" s="214">
        <v>98</v>
      </c>
      <c r="C17" s="211">
        <f>953-B17-M17</f>
        <v>834</v>
      </c>
      <c r="D17" s="287">
        <f>(100/953)*B17</f>
        <v>10.283315844700944</v>
      </c>
      <c r="E17" s="243"/>
      <c r="F17" s="243"/>
      <c r="G17" s="285" t="s">
        <v>108</v>
      </c>
      <c r="H17" s="214">
        <v>91</v>
      </c>
      <c r="I17" s="211">
        <f>953-H17-M17</f>
        <v>841</v>
      </c>
      <c r="J17" s="287">
        <f>(100/953)*H17</f>
        <v>9.5487932843651624</v>
      </c>
      <c r="L17" s="285" t="s">
        <v>108</v>
      </c>
      <c r="M17" s="214">
        <v>21</v>
      </c>
    </row>
    <row r="18" spans="1:13" x14ac:dyDescent="0.35">
      <c r="A18" s="285" t="s">
        <v>111</v>
      </c>
      <c r="B18" s="214">
        <v>115</v>
      </c>
      <c r="C18" s="211">
        <f>953-B18-M18</f>
        <v>819</v>
      </c>
      <c r="D18" s="287">
        <f>(100/953)*B18</f>
        <v>12.067156348373556</v>
      </c>
      <c r="E18" s="243"/>
      <c r="F18" s="243"/>
      <c r="G18" s="285" t="s">
        <v>111</v>
      </c>
      <c r="H18" s="214">
        <v>92</v>
      </c>
      <c r="I18" s="211">
        <f>953-H18-M18</f>
        <v>842</v>
      </c>
      <c r="J18" s="287">
        <f>(100/953)*H18</f>
        <v>9.6537250786988462</v>
      </c>
      <c r="L18" s="285" t="s">
        <v>111</v>
      </c>
      <c r="M18" s="214">
        <v>19</v>
      </c>
    </row>
    <row r="19" spans="1:13" x14ac:dyDescent="0.35">
      <c r="A19" s="285" t="s">
        <v>122</v>
      </c>
      <c r="B19" s="214">
        <v>118</v>
      </c>
      <c r="C19" s="211">
        <v>849</v>
      </c>
      <c r="D19" s="291">
        <f>(100/983)*B19</f>
        <v>12.004069175991862</v>
      </c>
      <c r="E19" s="243"/>
      <c r="F19" s="243"/>
      <c r="G19" s="285" t="s">
        <v>122</v>
      </c>
      <c r="H19" s="214">
        <v>92</v>
      </c>
      <c r="I19" s="211">
        <v>875</v>
      </c>
      <c r="J19" s="291">
        <f>(100/983)*H19</f>
        <v>9.3591047812817916</v>
      </c>
      <c r="L19" s="285" t="s">
        <v>122</v>
      </c>
      <c r="M19" s="214">
        <v>16</v>
      </c>
    </row>
    <row r="20" spans="1:13" x14ac:dyDescent="0.35">
      <c r="A20" s="285" t="s">
        <v>124</v>
      </c>
      <c r="B20" s="214">
        <v>125</v>
      </c>
      <c r="C20" s="211">
        <v>887</v>
      </c>
      <c r="D20" s="287">
        <f>(100/1032)*B20</f>
        <v>12.112403100775195</v>
      </c>
      <c r="E20" s="243"/>
      <c r="F20" s="243"/>
      <c r="G20" s="285" t="s">
        <v>124</v>
      </c>
      <c r="H20" s="214">
        <v>94</v>
      </c>
      <c r="I20" s="211">
        <v>918</v>
      </c>
      <c r="J20" s="287">
        <f>(100/1032)*H20</f>
        <v>9.1085271317829459</v>
      </c>
      <c r="L20" s="285" t="s">
        <v>124</v>
      </c>
      <c r="M20" s="214">
        <v>19</v>
      </c>
    </row>
    <row r="21" spans="1:13" x14ac:dyDescent="0.35">
      <c r="A21" s="285" t="s">
        <v>136</v>
      </c>
      <c r="B21" s="214">
        <v>130</v>
      </c>
      <c r="C21" s="211">
        <v>881</v>
      </c>
      <c r="D21" s="287">
        <f>(100/1028)*B21</f>
        <v>12.645914396887159</v>
      </c>
      <c r="E21" s="243"/>
      <c r="F21" s="243"/>
      <c r="G21" s="285" t="s">
        <v>136</v>
      </c>
      <c r="H21" s="214">
        <v>94</v>
      </c>
      <c r="I21" s="211">
        <v>916</v>
      </c>
      <c r="J21" s="287">
        <f>(100/1028)*H21</f>
        <v>9.1439688715953302</v>
      </c>
      <c r="L21" s="285" t="s">
        <v>136</v>
      </c>
      <c r="M21" s="214">
        <v>19</v>
      </c>
    </row>
    <row r="22" spans="1:13" x14ac:dyDescent="0.35">
      <c r="A22" s="285" t="s">
        <v>143</v>
      </c>
      <c r="B22" s="214">
        <v>131</v>
      </c>
      <c r="C22" s="211">
        <v>890</v>
      </c>
      <c r="D22" s="287">
        <f>(100/1044)*B22</f>
        <v>12.547892720306514</v>
      </c>
      <c r="E22" s="243"/>
      <c r="F22" s="243"/>
      <c r="G22" s="285" t="s">
        <v>143</v>
      </c>
      <c r="H22" s="214">
        <v>96</v>
      </c>
      <c r="I22" s="211">
        <v>925</v>
      </c>
      <c r="J22" s="287">
        <f>(100/1044)*H22</f>
        <v>9.1954022988505741</v>
      </c>
      <c r="L22" s="285" t="s">
        <v>143</v>
      </c>
      <c r="M22" s="214">
        <v>23</v>
      </c>
    </row>
    <row r="23" spans="1:13" x14ac:dyDescent="0.35">
      <c r="A23" s="285" t="s">
        <v>155</v>
      </c>
      <c r="B23" s="214">
        <v>120</v>
      </c>
      <c r="C23" s="211">
        <v>866</v>
      </c>
      <c r="D23" s="287">
        <f>(100/1011)*B23</f>
        <v>11.869436201780417</v>
      </c>
      <c r="E23" s="243"/>
      <c r="F23" s="243"/>
      <c r="G23" s="285" t="s">
        <v>155</v>
      </c>
      <c r="H23" s="214">
        <v>94</v>
      </c>
      <c r="I23" s="211">
        <v>892</v>
      </c>
      <c r="J23" s="287">
        <f>(100/1011)*H23</f>
        <v>9.2977250247279919</v>
      </c>
      <c r="L23" s="285" t="s">
        <v>155</v>
      </c>
      <c r="M23" s="214">
        <v>23</v>
      </c>
    </row>
    <row r="24" spans="1:13" x14ac:dyDescent="0.35">
      <c r="A24" s="285" t="s">
        <v>156</v>
      </c>
      <c r="B24" s="214">
        <v>119</v>
      </c>
      <c r="C24" s="211">
        <v>859</v>
      </c>
      <c r="D24" s="287">
        <f>(100/1001)*B24</f>
        <v>11.888111888111888</v>
      </c>
      <c r="E24" s="243"/>
      <c r="F24" s="243"/>
      <c r="G24" s="285" t="s">
        <v>156</v>
      </c>
      <c r="H24" s="214">
        <v>94</v>
      </c>
      <c r="I24" s="211">
        <v>884</v>
      </c>
      <c r="J24" s="287">
        <f>(100/1001)*H24</f>
        <v>9.3906093906093915</v>
      </c>
      <c r="L24" s="285" t="s">
        <v>156</v>
      </c>
      <c r="M24" s="214">
        <v>23</v>
      </c>
    </row>
    <row r="25" spans="1:13" x14ac:dyDescent="0.35">
      <c r="A25" s="285" t="s">
        <v>158</v>
      </c>
      <c r="B25" s="214">
        <v>120</v>
      </c>
      <c r="C25" s="211">
        <v>874</v>
      </c>
      <c r="D25" s="287">
        <f>(100/1018)*B25</f>
        <v>11.787819253438114</v>
      </c>
      <c r="E25" s="243"/>
      <c r="F25" s="243"/>
      <c r="G25" s="285" t="s">
        <v>158</v>
      </c>
      <c r="H25" s="214">
        <v>97</v>
      </c>
      <c r="I25" s="211">
        <v>897</v>
      </c>
      <c r="J25" s="287">
        <f>(100/1018)*H25</f>
        <v>9.5284872298624741</v>
      </c>
      <c r="L25" s="285" t="s">
        <v>158</v>
      </c>
      <c r="M25" s="214">
        <v>24</v>
      </c>
    </row>
    <row r="26" spans="1:13" x14ac:dyDescent="0.35">
      <c r="A26" s="285" t="s">
        <v>160</v>
      </c>
      <c r="B26" s="214">
        <v>124</v>
      </c>
      <c r="C26" s="211">
        <v>883</v>
      </c>
      <c r="D26" s="287">
        <f>(100/1030)*B26</f>
        <v>12.038834951456311</v>
      </c>
      <c r="E26" s="243"/>
      <c r="F26" s="243"/>
      <c r="G26" s="285" t="s">
        <v>160</v>
      </c>
      <c r="H26" s="214">
        <v>98</v>
      </c>
      <c r="I26" s="211">
        <v>909</v>
      </c>
      <c r="J26" s="287">
        <f>(100/1030)*H26</f>
        <v>9.5145631067961158</v>
      </c>
      <c r="L26" s="285" t="s">
        <v>160</v>
      </c>
      <c r="M26" s="214">
        <v>23</v>
      </c>
    </row>
    <row r="27" spans="1:13" x14ac:dyDescent="0.35">
      <c r="A27" s="285" t="s">
        <v>161</v>
      </c>
      <c r="B27" s="214">
        <v>119</v>
      </c>
      <c r="C27" s="211">
        <v>866</v>
      </c>
      <c r="D27" s="287">
        <f>(100/1009)*B27</f>
        <v>11.793855302279484</v>
      </c>
      <c r="G27" s="285" t="s">
        <v>161</v>
      </c>
      <c r="H27" s="214">
        <v>92</v>
      </c>
      <c r="I27" s="211">
        <v>891</v>
      </c>
      <c r="J27" s="287">
        <f>(100/1009)*H27</f>
        <v>9.1179385530227943</v>
      </c>
      <c r="L27" s="285" t="s">
        <v>161</v>
      </c>
      <c r="M27" s="214">
        <v>22</v>
      </c>
    </row>
    <row r="28" spans="1:13" x14ac:dyDescent="0.35">
      <c r="A28" s="285" t="s">
        <v>162</v>
      </c>
      <c r="B28" s="214">
        <v>118</v>
      </c>
      <c r="C28" s="211">
        <v>879</v>
      </c>
      <c r="D28" s="287">
        <f>(100/1019)*B28</f>
        <v>11.579980372914623</v>
      </c>
      <c r="G28" s="285" t="s">
        <v>162</v>
      </c>
      <c r="H28" s="214">
        <v>92</v>
      </c>
      <c r="I28" s="211">
        <v>905</v>
      </c>
      <c r="J28" s="287">
        <f>(100/1019)*H28</f>
        <v>9.0284592737978411</v>
      </c>
      <c r="L28" s="285" t="s">
        <v>162</v>
      </c>
      <c r="M28" s="214">
        <v>22</v>
      </c>
    </row>
    <row r="29" spans="1:13" x14ac:dyDescent="0.35">
      <c r="A29" s="285" t="s">
        <v>163</v>
      </c>
      <c r="B29" s="214">
        <v>119</v>
      </c>
      <c r="C29" s="211">
        <v>879</v>
      </c>
      <c r="D29" s="287">
        <f>(100/1027)*B29</f>
        <v>11.587147030185005</v>
      </c>
      <c r="G29" s="285" t="s">
        <v>163</v>
      </c>
      <c r="H29" s="214">
        <v>92</v>
      </c>
      <c r="I29" s="211">
        <v>905</v>
      </c>
      <c r="J29" s="287">
        <f>(100/1027)*H29</f>
        <v>8.9581304771178196</v>
      </c>
      <c r="L29" s="285" t="s">
        <v>163</v>
      </c>
      <c r="M29" s="214">
        <v>23</v>
      </c>
    </row>
    <row r="30" spans="1:13" x14ac:dyDescent="0.35">
      <c r="A30" s="285" t="s">
        <v>164</v>
      </c>
      <c r="B30" s="214">
        <v>119</v>
      </c>
      <c r="C30" s="211">
        <v>890</v>
      </c>
      <c r="D30" s="287">
        <f>(100/1032)*B30</f>
        <v>11.531007751937985</v>
      </c>
      <c r="G30" s="285" t="s">
        <v>164</v>
      </c>
      <c r="H30" s="214">
        <v>92</v>
      </c>
      <c r="I30" s="211">
        <v>917</v>
      </c>
      <c r="J30" s="287">
        <f>(100/1032)*H30</f>
        <v>8.9147286821705425</v>
      </c>
      <c r="L30" s="285" t="s">
        <v>164</v>
      </c>
      <c r="M30" s="214">
        <v>24</v>
      </c>
    </row>
    <row r="31" spans="1:13" x14ac:dyDescent="0.35">
      <c r="A31" s="285" t="s">
        <v>166</v>
      </c>
      <c r="B31" s="214">
        <v>114</v>
      </c>
      <c r="C31" s="211">
        <v>894</v>
      </c>
      <c r="D31" s="287">
        <f>(100/1031)*B31</f>
        <v>11.057225994180406</v>
      </c>
      <c r="G31" s="285" t="s">
        <v>166</v>
      </c>
      <c r="H31" s="214">
        <v>95</v>
      </c>
      <c r="I31" s="211">
        <v>913</v>
      </c>
      <c r="J31" s="287">
        <f>(100/1031)*H31</f>
        <v>9.2143549951503392</v>
      </c>
      <c r="L31" s="285" t="s">
        <v>166</v>
      </c>
      <c r="M31" s="214">
        <v>23</v>
      </c>
    </row>
    <row r="32" spans="1:13" x14ac:dyDescent="0.35">
      <c r="A32" s="285" t="s">
        <v>168</v>
      </c>
      <c r="B32" s="214">
        <v>113</v>
      </c>
      <c r="C32" s="211">
        <v>903</v>
      </c>
      <c r="D32" s="287">
        <f>(100/1038)*B32</f>
        <v>10.886319845857418</v>
      </c>
      <c r="G32" s="285" t="s">
        <v>168</v>
      </c>
      <c r="H32" s="214">
        <v>96</v>
      </c>
      <c r="I32" s="211">
        <v>920</v>
      </c>
      <c r="J32" s="287">
        <f>(100/1038)*H32</f>
        <v>9.2485549132947984</v>
      </c>
      <c r="L32" s="285" t="s">
        <v>168</v>
      </c>
      <c r="M32" s="214">
        <v>22</v>
      </c>
    </row>
    <row r="33" spans="1:13" x14ac:dyDescent="0.35">
      <c r="A33" s="285" t="s">
        <v>169</v>
      </c>
      <c r="B33" s="214">
        <v>112</v>
      </c>
      <c r="C33" s="211">
        <v>894</v>
      </c>
      <c r="D33" s="287">
        <f>(100/1027)*B33</f>
        <v>10.905550146056475</v>
      </c>
      <c r="G33" s="285" t="s">
        <v>169</v>
      </c>
      <c r="H33" s="214">
        <v>96</v>
      </c>
      <c r="I33" s="211">
        <v>910</v>
      </c>
      <c r="J33" s="287">
        <f>(100/1027)*H33</f>
        <v>9.3476144109055497</v>
      </c>
      <c r="L33" s="285" t="s">
        <v>169</v>
      </c>
      <c r="M33" s="214">
        <v>21</v>
      </c>
    </row>
    <row r="34" spans="1:13" x14ac:dyDescent="0.35">
      <c r="A34" s="285" t="s">
        <v>171</v>
      </c>
      <c r="B34" s="214">
        <v>108</v>
      </c>
      <c r="C34" s="211">
        <v>884</v>
      </c>
      <c r="D34" s="287">
        <f>(100/1013)*B34</f>
        <v>10.661401776900297</v>
      </c>
      <c r="G34" s="285" t="s">
        <v>171</v>
      </c>
      <c r="H34" s="214">
        <v>96</v>
      </c>
      <c r="I34" s="211">
        <v>896</v>
      </c>
      <c r="J34" s="287">
        <f>(100/1013)*H34</f>
        <v>9.4768015794669296</v>
      </c>
      <c r="L34" s="285" t="s">
        <v>171</v>
      </c>
      <c r="M34" s="214">
        <v>21</v>
      </c>
    </row>
    <row r="35" spans="1:13" x14ac:dyDescent="0.35">
      <c r="A35" s="285" t="s">
        <v>188</v>
      </c>
      <c r="B35" s="214">
        <v>104</v>
      </c>
      <c r="C35" s="211">
        <v>869</v>
      </c>
      <c r="D35" s="287">
        <f>(100/992)*B35</f>
        <v>10.483870967741934</v>
      </c>
      <c r="G35" s="285" t="s">
        <v>188</v>
      </c>
      <c r="H35" s="214">
        <v>94</v>
      </c>
      <c r="I35" s="211">
        <v>879</v>
      </c>
      <c r="J35" s="287">
        <f>(100/992)*H35</f>
        <v>9.4758064516129021</v>
      </c>
      <c r="L35" s="285" t="s">
        <v>166</v>
      </c>
      <c r="M35" s="214">
        <v>19</v>
      </c>
    </row>
    <row r="36" spans="1:13" x14ac:dyDescent="0.35">
      <c r="A36" s="285" t="s">
        <v>192</v>
      </c>
      <c r="B36" s="214">
        <v>102</v>
      </c>
      <c r="C36" s="211">
        <v>876</v>
      </c>
      <c r="D36" s="287">
        <f>(100/997)*B36</f>
        <v>10.230692076228687</v>
      </c>
      <c r="G36" s="285" t="s">
        <v>192</v>
      </c>
      <c r="H36" s="214">
        <v>96</v>
      </c>
      <c r="I36" s="211">
        <v>882</v>
      </c>
      <c r="J36" s="287">
        <f>(100/997)*H36</f>
        <v>9.6288866599799405</v>
      </c>
      <c r="L36" s="285" t="s">
        <v>192</v>
      </c>
      <c r="M36" s="214">
        <v>19</v>
      </c>
    </row>
    <row r="37" spans="1:13" x14ac:dyDescent="0.35">
      <c r="A37" s="285" t="s">
        <v>197</v>
      </c>
      <c r="B37" s="214">
        <v>101</v>
      </c>
      <c r="C37" s="211">
        <v>893</v>
      </c>
      <c r="D37" s="287">
        <f>(100/1013)*B37</f>
        <v>9.9703849950641654</v>
      </c>
      <c r="G37" s="285" t="s">
        <v>197</v>
      </c>
      <c r="H37" s="214">
        <v>95</v>
      </c>
      <c r="I37" s="211">
        <v>899</v>
      </c>
      <c r="J37" s="287">
        <f>(100/1013)*H37</f>
        <v>9.3780848963474828</v>
      </c>
      <c r="L37" s="285" t="s">
        <v>197</v>
      </c>
      <c r="M37" s="214">
        <v>19</v>
      </c>
    </row>
    <row r="38" spans="1:13" x14ac:dyDescent="0.35">
      <c r="A38" s="285" t="s">
        <v>208</v>
      </c>
      <c r="B38" s="214">
        <v>99</v>
      </c>
      <c r="C38" s="211">
        <v>899</v>
      </c>
      <c r="D38" s="287">
        <f>(100/1017)*B38</f>
        <v>9.7345132743362832</v>
      </c>
      <c r="G38" s="285" t="s">
        <v>208</v>
      </c>
      <c r="H38" s="214">
        <v>95</v>
      </c>
      <c r="I38" s="211">
        <v>903</v>
      </c>
      <c r="J38" s="287">
        <f>(100/1017)*H38</f>
        <v>9.3411996066863328</v>
      </c>
      <c r="L38" s="285" t="s">
        <v>208</v>
      </c>
      <c r="M38" s="214">
        <v>19</v>
      </c>
    </row>
    <row r="41" spans="1:13" x14ac:dyDescent="0.35">
      <c r="A41" s="281" t="s">
        <v>106</v>
      </c>
      <c r="B41" s="288">
        <v>1017</v>
      </c>
    </row>
    <row r="42" spans="1:13" x14ac:dyDescent="0.35">
      <c r="A42" s="160"/>
    </row>
    <row r="43" spans="1:13" x14ac:dyDescent="0.35">
      <c r="A43" s="456" t="s">
        <v>144</v>
      </c>
      <c r="B43" s="456"/>
      <c r="C43" s="456"/>
      <c r="D43" s="456"/>
      <c r="E43" s="456"/>
      <c r="F43" s="456"/>
      <c r="G43" s="456"/>
      <c r="H43" s="456"/>
    </row>
  </sheetData>
  <mergeCells count="2">
    <mergeCell ref="L1:N1"/>
    <mergeCell ref="A43:H43"/>
  </mergeCells>
  <phoneticPr fontId="3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I25"/>
  <sheetViews>
    <sheetView workbookViewId="0">
      <selection activeCell="A2" sqref="A2"/>
    </sheetView>
  </sheetViews>
  <sheetFormatPr defaultColWidth="9.1796875" defaultRowHeight="14.5" x14ac:dyDescent="0.35"/>
  <cols>
    <col min="1" max="1" width="49.26953125" style="348" customWidth="1"/>
    <col min="2" max="2" width="10" style="348" bestFit="1" customWidth="1"/>
    <col min="3" max="3" width="18.7265625" style="348" customWidth="1"/>
    <col min="4" max="4" width="15.26953125" style="348" customWidth="1"/>
    <col min="5" max="5" width="15.7265625" style="348" bestFit="1" customWidth="1"/>
    <col min="6" max="6" width="15.7265625" style="348" customWidth="1"/>
    <col min="7" max="7" width="13.81640625" style="348" customWidth="1"/>
    <col min="8" max="8" width="16.26953125" style="348" customWidth="1"/>
    <col min="9" max="9" width="67.7265625" style="348" customWidth="1"/>
    <col min="10" max="16384" width="9.1796875" style="348"/>
  </cols>
  <sheetData>
    <row r="1" spans="1:9" x14ac:dyDescent="0.35">
      <c r="A1" s="403" t="s">
        <v>209</v>
      </c>
      <c r="B1" s="403"/>
      <c r="C1" s="403"/>
    </row>
    <row r="2" spans="1:9" ht="15" thickBot="1" x14ac:dyDescent="0.4"/>
    <row r="3" spans="1:9" ht="15" thickBot="1" x14ac:dyDescent="0.4">
      <c r="A3" s="139" t="s">
        <v>56</v>
      </c>
      <c r="B3" s="140" t="s">
        <v>57</v>
      </c>
      <c r="C3" s="247" t="s">
        <v>129</v>
      </c>
      <c r="D3" s="248" t="s">
        <v>58</v>
      </c>
      <c r="E3" s="249" t="s">
        <v>128</v>
      </c>
      <c r="F3" s="250" t="s">
        <v>58</v>
      </c>
      <c r="G3" s="249" t="s">
        <v>134</v>
      </c>
      <c r="H3" s="250" t="s">
        <v>58</v>
      </c>
    </row>
    <row r="4" spans="1:9" x14ac:dyDescent="0.35">
      <c r="A4" s="182" t="s">
        <v>126</v>
      </c>
      <c r="B4" s="317">
        <v>260</v>
      </c>
      <c r="C4" s="178">
        <v>45</v>
      </c>
      <c r="D4" s="320">
        <f>C4/B4</f>
        <v>0.17307692307692307</v>
      </c>
      <c r="E4" s="178">
        <v>26</v>
      </c>
      <c r="F4" s="320">
        <f t="shared" ref="F4:F8" si="0">E4/B4</f>
        <v>0.1</v>
      </c>
      <c r="G4" s="178">
        <v>4</v>
      </c>
      <c r="H4" s="320">
        <f t="shared" ref="H4:H8" si="1">G4/B4</f>
        <v>1.5384615384615385E-2</v>
      </c>
    </row>
    <row r="5" spans="1:9" x14ac:dyDescent="0.35">
      <c r="A5" s="155" t="s">
        <v>59</v>
      </c>
      <c r="B5" s="318">
        <v>52</v>
      </c>
      <c r="C5" s="321">
        <v>16</v>
      </c>
      <c r="D5" s="320">
        <f t="shared" ref="D5:D8" si="2">C5/B5</f>
        <v>0.30769230769230771</v>
      </c>
      <c r="E5" s="321">
        <v>5</v>
      </c>
      <c r="F5" s="320">
        <f t="shared" si="0"/>
        <v>9.6153846153846159E-2</v>
      </c>
      <c r="G5" s="321">
        <v>2</v>
      </c>
      <c r="H5" s="320">
        <f t="shared" si="1"/>
        <v>3.8461538461538464E-2</v>
      </c>
    </row>
    <row r="6" spans="1:9" x14ac:dyDescent="0.35">
      <c r="A6" s="155" t="s">
        <v>127</v>
      </c>
      <c r="B6" s="318">
        <v>23</v>
      </c>
      <c r="C6" s="321">
        <v>7</v>
      </c>
      <c r="D6" s="320">
        <f t="shared" si="2"/>
        <v>0.30434782608695654</v>
      </c>
      <c r="E6" s="321">
        <v>1</v>
      </c>
      <c r="F6" s="320">
        <f t="shared" si="0"/>
        <v>4.3478260869565216E-2</v>
      </c>
      <c r="G6" s="321">
        <v>1</v>
      </c>
      <c r="H6" s="320">
        <f t="shared" si="1"/>
        <v>4.3478260869565216E-2</v>
      </c>
      <c r="I6" s="457"/>
    </row>
    <row r="7" spans="1:9" x14ac:dyDescent="0.35">
      <c r="A7" s="155" t="s">
        <v>100</v>
      </c>
      <c r="B7" s="318">
        <v>106</v>
      </c>
      <c r="C7" s="178">
        <v>2</v>
      </c>
      <c r="D7" s="320">
        <f t="shared" si="2"/>
        <v>1.8867924528301886E-2</v>
      </c>
      <c r="E7" s="178">
        <v>8</v>
      </c>
      <c r="F7" s="320">
        <f t="shared" si="0"/>
        <v>7.5471698113207544E-2</v>
      </c>
      <c r="G7" s="178">
        <v>1</v>
      </c>
      <c r="H7" s="320">
        <f t="shared" si="1"/>
        <v>9.433962264150943E-3</v>
      </c>
      <c r="I7" s="457"/>
    </row>
    <row r="8" spans="1:9" ht="15" thickBot="1" x14ac:dyDescent="0.4">
      <c r="A8" s="212" t="s">
        <v>17</v>
      </c>
      <c r="B8" s="319">
        <v>576</v>
      </c>
      <c r="C8" s="322">
        <v>29</v>
      </c>
      <c r="D8" s="323">
        <f t="shared" si="2"/>
        <v>5.0347222222222224E-2</v>
      </c>
      <c r="E8" s="322">
        <v>55</v>
      </c>
      <c r="F8" s="323">
        <f t="shared" si="0"/>
        <v>9.5486111111111105E-2</v>
      </c>
      <c r="G8" s="322">
        <v>11</v>
      </c>
      <c r="H8" s="323">
        <f t="shared" si="1"/>
        <v>1.9097222222222224E-2</v>
      </c>
    </row>
    <row r="9" spans="1:9" ht="15" thickBot="1" x14ac:dyDescent="0.4">
      <c r="A9" s="144" t="s">
        <v>57</v>
      </c>
      <c r="B9" s="224">
        <f>SUM(B4:B8)</f>
        <v>1017</v>
      </c>
      <c r="C9" s="190">
        <f t="shared" ref="C9:E9" si="3">SUM(C4:C8)</f>
        <v>99</v>
      </c>
      <c r="D9" s="352">
        <f>C9/B9</f>
        <v>9.7345132743362831E-2</v>
      </c>
      <c r="E9" s="190">
        <f t="shared" si="3"/>
        <v>95</v>
      </c>
      <c r="F9" s="352">
        <f>E9/B9</f>
        <v>9.3411996066863318E-2</v>
      </c>
      <c r="G9" s="190">
        <f>SUM(G4:G8)</f>
        <v>19</v>
      </c>
      <c r="H9" s="353">
        <f>G9/B9</f>
        <v>1.8682399213372666E-2</v>
      </c>
    </row>
    <row r="10" spans="1:9" x14ac:dyDescent="0.35">
      <c r="D10" s="351"/>
    </row>
    <row r="11" spans="1:9" x14ac:dyDescent="0.35">
      <c r="A11" s="458" t="s">
        <v>149</v>
      </c>
      <c r="B11" s="458"/>
      <c r="C11" s="458"/>
      <c r="D11" s="458"/>
      <c r="E11" s="458"/>
      <c r="F11" s="458"/>
    </row>
    <row r="12" spans="1:9" x14ac:dyDescent="0.35">
      <c r="A12" s="153"/>
      <c r="B12" s="97"/>
      <c r="C12" s="97"/>
      <c r="D12" s="97"/>
      <c r="F12" s="97"/>
    </row>
    <row r="13" spans="1:9" x14ac:dyDescent="0.35">
      <c r="A13" s="145" t="s">
        <v>60</v>
      </c>
      <c r="F13" s="97"/>
    </row>
    <row r="14" spans="1:9" x14ac:dyDescent="0.35">
      <c r="A14" s="9" t="s">
        <v>145</v>
      </c>
      <c r="F14" s="97"/>
    </row>
    <row r="15" spans="1:9" x14ac:dyDescent="0.35">
      <c r="A15" s="153" t="s">
        <v>107</v>
      </c>
      <c r="F15" s="97"/>
    </row>
    <row r="20" spans="1:6" x14ac:dyDescent="0.35">
      <c r="A20" s="278"/>
      <c r="B20" s="279"/>
      <c r="C20" s="279"/>
      <c r="D20" s="279"/>
      <c r="E20" s="279"/>
      <c r="F20" s="279"/>
    </row>
    <row r="21" spans="1:6" x14ac:dyDescent="0.35">
      <c r="A21" s="278"/>
      <c r="B21" s="279"/>
      <c r="C21" s="279"/>
      <c r="D21" s="279"/>
      <c r="E21" s="279"/>
      <c r="F21" s="279"/>
    </row>
    <row r="22" spans="1:6" x14ac:dyDescent="0.35">
      <c r="A22" s="278"/>
      <c r="B22" s="279"/>
      <c r="C22" s="279"/>
      <c r="D22" s="279"/>
      <c r="E22" s="279"/>
      <c r="F22" s="279"/>
    </row>
    <row r="23" spans="1:6" x14ac:dyDescent="0.35">
      <c r="A23" s="278"/>
      <c r="B23" s="279"/>
      <c r="C23" s="279"/>
      <c r="D23" s="279"/>
      <c r="E23" s="279"/>
      <c r="F23" s="279"/>
    </row>
    <row r="24" spans="1:6" x14ac:dyDescent="0.35">
      <c r="A24" s="278"/>
      <c r="B24" s="279"/>
      <c r="C24" s="279"/>
      <c r="D24" s="279"/>
      <c r="E24" s="279"/>
      <c r="F24" s="279"/>
    </row>
    <row r="25" spans="1:6" x14ac:dyDescent="0.35">
      <c r="A25" s="278"/>
      <c r="B25" s="279"/>
      <c r="C25" s="279"/>
      <c r="D25" s="279"/>
      <c r="E25" s="279"/>
      <c r="F25" s="279"/>
    </row>
  </sheetData>
  <mergeCells count="3">
    <mergeCell ref="A1:C1"/>
    <mergeCell ref="I6:I7"/>
    <mergeCell ref="A11:F1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H21"/>
  <sheetViews>
    <sheetView zoomScaleNormal="100" workbookViewId="0">
      <selection sqref="A1:D1"/>
    </sheetView>
  </sheetViews>
  <sheetFormatPr defaultColWidth="9.1796875" defaultRowHeight="14.5" x14ac:dyDescent="0.35"/>
  <cols>
    <col min="1" max="1" width="49.453125" style="348" customWidth="1"/>
    <col min="2" max="2" width="10.54296875" style="348" bestFit="1" customWidth="1"/>
    <col min="3" max="3" width="13.453125" style="348" customWidth="1"/>
    <col min="4" max="4" width="12" style="348" customWidth="1"/>
    <col min="5" max="5" width="13.7265625" style="348" customWidth="1"/>
    <col min="6" max="8" width="11.81640625" style="348" customWidth="1"/>
    <col min="9" max="9" width="9.1796875" style="348"/>
    <col min="10" max="10" width="31.7265625" style="348" customWidth="1"/>
    <col min="11" max="11" width="9.81640625" style="348" customWidth="1"/>
    <col min="12" max="16384" width="9.1796875" style="348"/>
  </cols>
  <sheetData>
    <row r="1" spans="1:8" x14ac:dyDescent="0.35">
      <c r="A1" s="403" t="s">
        <v>210</v>
      </c>
      <c r="B1" s="403"/>
      <c r="C1" s="403"/>
      <c r="D1" s="403"/>
    </row>
    <row r="3" spans="1:8" ht="29" x14ac:dyDescent="0.35">
      <c r="A3" s="146"/>
      <c r="B3" s="147" t="s">
        <v>61</v>
      </c>
      <c r="C3" s="148" t="s">
        <v>132</v>
      </c>
      <c r="D3" s="148" t="s">
        <v>62</v>
      </c>
      <c r="E3" s="148" t="s">
        <v>133</v>
      </c>
      <c r="F3" s="148" t="s">
        <v>63</v>
      </c>
      <c r="G3" s="148" t="s">
        <v>134</v>
      </c>
      <c r="H3" s="148" t="s">
        <v>131</v>
      </c>
    </row>
    <row r="4" spans="1:8" x14ac:dyDescent="0.35">
      <c r="A4" s="149" t="s">
        <v>64</v>
      </c>
      <c r="B4" s="150"/>
      <c r="C4" s="150"/>
      <c r="D4" s="150"/>
      <c r="E4" s="150"/>
      <c r="F4" s="150"/>
      <c r="G4" s="150"/>
      <c r="H4" s="150"/>
    </row>
    <row r="5" spans="1:8" x14ac:dyDescent="0.35">
      <c r="A5" s="159" t="s">
        <v>126</v>
      </c>
      <c r="B5" s="178">
        <v>247</v>
      </c>
      <c r="C5" s="178">
        <v>35</v>
      </c>
      <c r="D5" s="179">
        <f>C5/B5</f>
        <v>0.1417004048582996</v>
      </c>
      <c r="E5" s="178">
        <v>26</v>
      </c>
      <c r="F5" s="179">
        <f>E5/B5</f>
        <v>0.10526315789473684</v>
      </c>
      <c r="G5" s="178">
        <v>2</v>
      </c>
      <c r="H5" s="179">
        <f>G5/B5</f>
        <v>8.0971659919028341E-3</v>
      </c>
    </row>
    <row r="6" spans="1:8" x14ac:dyDescent="0.35">
      <c r="A6" s="159" t="s">
        <v>59</v>
      </c>
      <c r="B6" s="178">
        <v>48</v>
      </c>
      <c r="C6" s="178">
        <v>13</v>
      </c>
      <c r="D6" s="179">
        <f>C6/B6</f>
        <v>0.27083333333333331</v>
      </c>
      <c r="E6" s="178">
        <v>5</v>
      </c>
      <c r="F6" s="179">
        <f>E6/B6</f>
        <v>0.10416666666666667</v>
      </c>
      <c r="G6" s="178">
        <v>1</v>
      </c>
      <c r="H6" s="179">
        <f>G6/B6</f>
        <v>2.0833333333333332E-2</v>
      </c>
    </row>
    <row r="7" spans="1:8" x14ac:dyDescent="0.35">
      <c r="A7" s="159" t="s">
        <v>127</v>
      </c>
      <c r="B7" s="178">
        <v>20</v>
      </c>
      <c r="C7" s="178">
        <v>5</v>
      </c>
      <c r="D7" s="179">
        <f>C7/B7</f>
        <v>0.25</v>
      </c>
      <c r="E7" s="178">
        <v>1</v>
      </c>
      <c r="F7" s="179">
        <f>E7/B7</f>
        <v>0.05</v>
      </c>
      <c r="G7" s="178">
        <v>0</v>
      </c>
      <c r="H7" s="179">
        <f>G7/B7</f>
        <v>0</v>
      </c>
    </row>
    <row r="8" spans="1:8" x14ac:dyDescent="0.35">
      <c r="A8" s="159" t="s">
        <v>140</v>
      </c>
      <c r="B8" s="178">
        <v>231</v>
      </c>
      <c r="C8" s="178">
        <v>15</v>
      </c>
      <c r="D8" s="179">
        <f>C8/B8</f>
        <v>6.4935064935064929E-2</v>
      </c>
      <c r="E8" s="178">
        <v>21</v>
      </c>
      <c r="F8" s="179">
        <f>E8/B8</f>
        <v>9.0909090909090912E-2</v>
      </c>
      <c r="G8" s="178">
        <v>7</v>
      </c>
      <c r="H8" s="179">
        <f>G8/B8</f>
        <v>3.0303030303030304E-2</v>
      </c>
    </row>
    <row r="9" spans="1:8" ht="15" thickBot="1" x14ac:dyDescent="0.4">
      <c r="A9" s="151" t="s">
        <v>65</v>
      </c>
      <c r="B9" s="177">
        <f>SUM(B5:B8)</f>
        <v>546</v>
      </c>
      <c r="C9" s="217">
        <f>SUM(C5:C8)</f>
        <v>68</v>
      </c>
      <c r="D9" s="215">
        <f>C9/B9</f>
        <v>0.12454212454212454</v>
      </c>
      <c r="E9" s="217">
        <f>SUM(E5:E8)</f>
        <v>53</v>
      </c>
      <c r="F9" s="262">
        <f>E9/B9</f>
        <v>9.7069597069597072E-2</v>
      </c>
      <c r="G9" s="217">
        <f>SUM(G5:G8)</f>
        <v>10</v>
      </c>
      <c r="H9" s="262">
        <f>G9/B9</f>
        <v>1.8315018315018316E-2</v>
      </c>
    </row>
    <row r="10" spans="1:8" x14ac:dyDescent="0.35">
      <c r="A10" s="213" t="s">
        <v>66</v>
      </c>
      <c r="B10" s="152"/>
      <c r="C10" s="216"/>
      <c r="D10" s="216"/>
      <c r="E10" s="216"/>
      <c r="F10" s="152"/>
      <c r="G10" s="216"/>
      <c r="H10" s="152"/>
    </row>
    <row r="11" spans="1:8" x14ac:dyDescent="0.35">
      <c r="A11" s="159" t="s">
        <v>103</v>
      </c>
      <c r="B11" s="178">
        <v>13</v>
      </c>
      <c r="C11" s="214">
        <v>10</v>
      </c>
      <c r="D11" s="263">
        <f>C11/B11</f>
        <v>0.76923076923076927</v>
      </c>
      <c r="E11" s="214">
        <v>0</v>
      </c>
      <c r="F11" s="179">
        <f>E11/B11</f>
        <v>0</v>
      </c>
      <c r="G11" s="214">
        <v>2</v>
      </c>
      <c r="H11" s="179">
        <f>G11/B11</f>
        <v>0.15384615384615385</v>
      </c>
    </row>
    <row r="12" spans="1:8" x14ac:dyDescent="0.35">
      <c r="A12" s="159" t="s">
        <v>59</v>
      </c>
      <c r="B12" s="178">
        <v>4</v>
      </c>
      <c r="C12" s="214">
        <v>3</v>
      </c>
      <c r="D12" s="263">
        <f>C12/B12</f>
        <v>0.75</v>
      </c>
      <c r="E12" s="214">
        <v>0</v>
      </c>
      <c r="F12" s="179">
        <f>E12/B12</f>
        <v>0</v>
      </c>
      <c r="G12" s="214">
        <v>1</v>
      </c>
      <c r="H12" s="179">
        <f>G12/B12</f>
        <v>0.25</v>
      </c>
    </row>
    <row r="13" spans="1:8" x14ac:dyDescent="0.35">
      <c r="A13" s="159" t="s">
        <v>109</v>
      </c>
      <c r="B13" s="178">
        <v>3</v>
      </c>
      <c r="C13" s="214">
        <v>2</v>
      </c>
      <c r="D13" s="263">
        <f>C13/B13</f>
        <v>0.66666666666666663</v>
      </c>
      <c r="E13" s="214">
        <v>0</v>
      </c>
      <c r="F13" s="179">
        <f>E13/B13</f>
        <v>0</v>
      </c>
      <c r="G13" s="214">
        <v>1</v>
      </c>
      <c r="H13" s="179">
        <f>G13/B13</f>
        <v>0.33333333333333331</v>
      </c>
    </row>
    <row r="14" spans="1:8" x14ac:dyDescent="0.35">
      <c r="A14" s="159" t="s">
        <v>141</v>
      </c>
      <c r="B14" s="178">
        <v>38</v>
      </c>
      <c r="C14" s="214">
        <v>6</v>
      </c>
      <c r="D14" s="263">
        <f>C14/B14</f>
        <v>0.15789473684210525</v>
      </c>
      <c r="E14" s="214">
        <v>6</v>
      </c>
      <c r="F14" s="179">
        <f>E14/B14</f>
        <v>0.15789473684210525</v>
      </c>
      <c r="G14" s="214">
        <v>1</v>
      </c>
      <c r="H14" s="179">
        <f>G14/B14</f>
        <v>2.6315789473684209E-2</v>
      </c>
    </row>
    <row r="15" spans="1:8" ht="15" thickBot="1" x14ac:dyDescent="0.4">
      <c r="A15" s="151" t="s">
        <v>67</v>
      </c>
      <c r="B15" s="177">
        <f>SUM(B11:B14)</f>
        <v>58</v>
      </c>
      <c r="C15" s="217">
        <f>SUM(C11:C14)</f>
        <v>21</v>
      </c>
      <c r="D15" s="215">
        <f>C15/B15</f>
        <v>0.36206896551724138</v>
      </c>
      <c r="E15" s="217">
        <f>SUM(E11:E14)</f>
        <v>6</v>
      </c>
      <c r="F15" s="262">
        <f>E15/B15</f>
        <v>0.10344827586206896</v>
      </c>
      <c r="G15" s="217">
        <f>SUM(G11:G14)</f>
        <v>5</v>
      </c>
      <c r="H15" s="262">
        <f>G15/B15</f>
        <v>8.6206896551724144E-2</v>
      </c>
    </row>
    <row r="16" spans="1:8" x14ac:dyDescent="0.35">
      <c r="A16" s="97"/>
      <c r="B16" s="97"/>
      <c r="C16" s="222"/>
      <c r="D16" s="222"/>
      <c r="E16" s="222"/>
      <c r="F16" s="97"/>
      <c r="G16" s="97"/>
      <c r="H16" s="97"/>
    </row>
    <row r="17" spans="1:8" x14ac:dyDescent="0.35">
      <c r="A17" s="458" t="s">
        <v>130</v>
      </c>
      <c r="B17" s="458"/>
      <c r="C17" s="458"/>
      <c r="D17" s="458"/>
      <c r="E17" s="458"/>
      <c r="F17" s="458"/>
      <c r="G17" s="97"/>
      <c r="H17" s="97"/>
    </row>
    <row r="18" spans="1:8" x14ac:dyDescent="0.35">
      <c r="A18" s="97"/>
      <c r="B18" s="97"/>
      <c r="C18" s="222"/>
      <c r="D18" s="222"/>
      <c r="E18" s="222"/>
      <c r="F18" s="97"/>
      <c r="G18" s="97"/>
      <c r="H18" s="97"/>
    </row>
    <row r="19" spans="1:8" x14ac:dyDescent="0.35">
      <c r="A19" s="145" t="s">
        <v>142</v>
      </c>
    </row>
    <row r="20" spans="1:8" x14ac:dyDescent="0.35">
      <c r="A20" s="9" t="s">
        <v>145</v>
      </c>
    </row>
    <row r="21" spans="1:8" x14ac:dyDescent="0.35">
      <c r="A21" s="153" t="s">
        <v>107</v>
      </c>
    </row>
  </sheetData>
  <mergeCells count="2">
    <mergeCell ref="A1:D1"/>
    <mergeCell ref="A17:F1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O17"/>
  <sheetViews>
    <sheetView zoomScaleNormal="100" workbookViewId="0">
      <selection sqref="A1:C1"/>
    </sheetView>
  </sheetViews>
  <sheetFormatPr defaultColWidth="9.1796875" defaultRowHeight="14.5" x14ac:dyDescent="0.35"/>
  <cols>
    <col min="1" max="1" width="48.7265625" style="348" customWidth="1"/>
    <col min="2" max="2" width="8.81640625" style="348" customWidth="1"/>
    <col min="3" max="3" width="11.26953125" style="348" customWidth="1"/>
    <col min="4" max="4" width="10.81640625" style="348" customWidth="1"/>
    <col min="5" max="5" width="10.26953125" style="348" customWidth="1"/>
    <col min="6" max="6" width="12" style="348" customWidth="1"/>
    <col min="7" max="7" width="10.81640625" style="348" customWidth="1"/>
    <col min="8" max="8" width="10.26953125" style="348" customWidth="1"/>
    <col min="9" max="9" width="9.1796875" style="348"/>
    <col min="10" max="10" width="23.81640625" style="348" customWidth="1"/>
    <col min="11" max="16384" width="9.1796875" style="348"/>
  </cols>
  <sheetData>
    <row r="1" spans="1:15" x14ac:dyDescent="0.35">
      <c r="A1" s="403" t="s">
        <v>209</v>
      </c>
      <c r="B1" s="403"/>
      <c r="C1" s="403"/>
    </row>
    <row r="2" spans="1:15" ht="15" thickBot="1" x14ac:dyDescent="0.4"/>
    <row r="3" spans="1:15" ht="29.5" thickBot="1" x14ac:dyDescent="0.4">
      <c r="A3" s="246" t="s">
        <v>56</v>
      </c>
      <c r="B3" s="247" t="s">
        <v>57</v>
      </c>
      <c r="C3" s="324" t="s">
        <v>129</v>
      </c>
      <c r="D3" s="248" t="s">
        <v>58</v>
      </c>
      <c r="E3" s="282" t="s">
        <v>128</v>
      </c>
      <c r="F3" s="250" t="s">
        <v>58</v>
      </c>
      <c r="G3" s="282" t="s">
        <v>121</v>
      </c>
      <c r="H3" s="250" t="s">
        <v>58</v>
      </c>
    </row>
    <row r="4" spans="1:15" x14ac:dyDescent="0.35">
      <c r="A4" s="251" t="s">
        <v>112</v>
      </c>
      <c r="B4" s="169">
        <v>247</v>
      </c>
      <c r="C4" s="252">
        <v>35</v>
      </c>
      <c r="D4" s="181">
        <f t="shared" ref="D4:D13" si="0">C4/B4</f>
        <v>0.1417004048582996</v>
      </c>
      <c r="E4" s="252">
        <v>26</v>
      </c>
      <c r="F4" s="181">
        <f t="shared" ref="F4:F13" si="1">E4/B4</f>
        <v>0.10526315789473684</v>
      </c>
      <c r="G4" s="252">
        <v>2</v>
      </c>
      <c r="H4" s="181">
        <f t="shared" ref="H4:H13" si="2">G4/B4</f>
        <v>8.0971659919028341E-3</v>
      </c>
    </row>
    <row r="5" spans="1:15" x14ac:dyDescent="0.35">
      <c r="A5" s="182" t="s">
        <v>113</v>
      </c>
      <c r="B5" s="170">
        <v>13</v>
      </c>
      <c r="C5" s="253">
        <v>10</v>
      </c>
      <c r="D5" s="176">
        <f t="shared" si="0"/>
        <v>0.76923076923076927</v>
      </c>
      <c r="E5" s="253">
        <v>0</v>
      </c>
      <c r="F5" s="176">
        <f t="shared" si="1"/>
        <v>0</v>
      </c>
      <c r="G5" s="253">
        <v>2</v>
      </c>
      <c r="H5" s="176">
        <f t="shared" si="2"/>
        <v>0.15384615384615385</v>
      </c>
    </row>
    <row r="6" spans="1:15" ht="29" x14ac:dyDescent="0.35">
      <c r="A6" s="254" t="s">
        <v>114</v>
      </c>
      <c r="B6" s="170">
        <v>48</v>
      </c>
      <c r="C6" s="253">
        <v>13</v>
      </c>
      <c r="D6" s="176">
        <f t="shared" si="0"/>
        <v>0.27083333333333331</v>
      </c>
      <c r="E6" s="253">
        <v>5</v>
      </c>
      <c r="F6" s="176">
        <f t="shared" si="1"/>
        <v>0.10416666666666667</v>
      </c>
      <c r="G6" s="253">
        <v>1</v>
      </c>
      <c r="H6" s="176">
        <f t="shared" si="2"/>
        <v>2.0833333333333332E-2</v>
      </c>
      <c r="J6" s="349"/>
    </row>
    <row r="7" spans="1:15" ht="29" x14ac:dyDescent="0.35">
      <c r="A7" s="254" t="s">
        <v>115</v>
      </c>
      <c r="B7" s="170">
        <v>4</v>
      </c>
      <c r="C7" s="253">
        <v>3</v>
      </c>
      <c r="D7" s="176">
        <f t="shared" si="0"/>
        <v>0.75</v>
      </c>
      <c r="E7" s="253">
        <v>0</v>
      </c>
      <c r="F7" s="176">
        <f t="shared" si="1"/>
        <v>0</v>
      </c>
      <c r="G7" s="253">
        <v>1</v>
      </c>
      <c r="H7" s="176">
        <f t="shared" si="2"/>
        <v>0.25</v>
      </c>
    </row>
    <row r="8" spans="1:15" ht="17.25" customHeight="1" x14ac:dyDescent="0.35">
      <c r="A8" s="254" t="s">
        <v>116</v>
      </c>
      <c r="B8" s="170">
        <v>20</v>
      </c>
      <c r="C8" s="253">
        <v>5</v>
      </c>
      <c r="D8" s="176">
        <f t="shared" si="0"/>
        <v>0.25</v>
      </c>
      <c r="E8" s="253">
        <v>1</v>
      </c>
      <c r="F8" s="176">
        <f t="shared" si="1"/>
        <v>0.05</v>
      </c>
      <c r="G8" s="253">
        <v>0</v>
      </c>
      <c r="H8" s="176">
        <f t="shared" si="2"/>
        <v>0</v>
      </c>
    </row>
    <row r="9" spans="1:15" x14ac:dyDescent="0.35">
      <c r="A9" s="254" t="s">
        <v>117</v>
      </c>
      <c r="B9" s="170">
        <v>3</v>
      </c>
      <c r="C9" s="253">
        <v>2</v>
      </c>
      <c r="D9" s="176">
        <f t="shared" si="0"/>
        <v>0.66666666666666663</v>
      </c>
      <c r="E9" s="253">
        <v>0</v>
      </c>
      <c r="F9" s="176">
        <f t="shared" si="1"/>
        <v>0</v>
      </c>
      <c r="G9" s="253">
        <v>1</v>
      </c>
      <c r="H9" s="176">
        <f t="shared" si="2"/>
        <v>0.33333333333333331</v>
      </c>
      <c r="J9" s="278"/>
      <c r="K9" s="279"/>
      <c r="L9" s="279"/>
      <c r="M9" s="279"/>
      <c r="N9" s="279"/>
      <c r="O9" s="279"/>
    </row>
    <row r="10" spans="1:15" x14ac:dyDescent="0.35">
      <c r="A10" s="155" t="s">
        <v>118</v>
      </c>
      <c r="B10" s="170">
        <v>231</v>
      </c>
      <c r="C10" s="253">
        <v>15</v>
      </c>
      <c r="D10" s="176">
        <f t="shared" si="0"/>
        <v>6.4935064935064929E-2</v>
      </c>
      <c r="E10" s="253">
        <v>21</v>
      </c>
      <c r="F10" s="176">
        <f t="shared" si="1"/>
        <v>9.0909090909090912E-2</v>
      </c>
      <c r="G10" s="253">
        <v>7</v>
      </c>
      <c r="H10" s="176">
        <f t="shared" si="2"/>
        <v>3.0303030303030304E-2</v>
      </c>
      <c r="J10" s="278"/>
      <c r="K10" s="279"/>
      <c r="L10" s="279"/>
      <c r="M10" s="279"/>
      <c r="N10" s="279"/>
      <c r="O10" s="279"/>
    </row>
    <row r="11" spans="1:15" x14ac:dyDescent="0.35">
      <c r="A11" s="155" t="s">
        <v>119</v>
      </c>
      <c r="B11" s="170">
        <v>38</v>
      </c>
      <c r="C11" s="253">
        <v>6</v>
      </c>
      <c r="D11" s="176">
        <f t="shared" si="0"/>
        <v>0.15789473684210525</v>
      </c>
      <c r="E11" s="253">
        <v>6</v>
      </c>
      <c r="F11" s="176">
        <f t="shared" si="1"/>
        <v>0.15789473684210525</v>
      </c>
      <c r="G11" s="253">
        <v>1</v>
      </c>
      <c r="H11" s="176">
        <f t="shared" si="2"/>
        <v>2.6315789473684209E-2</v>
      </c>
      <c r="J11" s="278"/>
      <c r="K11" s="279"/>
      <c r="L11" s="279"/>
      <c r="M11" s="279"/>
      <c r="N11" s="279"/>
      <c r="O11" s="279"/>
    </row>
    <row r="12" spans="1:15" ht="15" thickBot="1" x14ac:dyDescent="0.4">
      <c r="A12" s="255" t="s">
        <v>120</v>
      </c>
      <c r="B12" s="289">
        <v>413</v>
      </c>
      <c r="C12" s="256">
        <v>10</v>
      </c>
      <c r="D12" s="257">
        <f t="shared" si="0"/>
        <v>2.4213075060532687E-2</v>
      </c>
      <c r="E12" s="256">
        <v>36</v>
      </c>
      <c r="F12" s="257">
        <f t="shared" si="1"/>
        <v>8.7167070217917669E-2</v>
      </c>
      <c r="G12" s="256">
        <v>4</v>
      </c>
      <c r="H12" s="257">
        <f t="shared" si="2"/>
        <v>9.6852300242130755E-3</v>
      </c>
      <c r="J12" s="278"/>
      <c r="K12" s="279"/>
      <c r="L12" s="279"/>
      <c r="M12" s="279"/>
      <c r="N12" s="279"/>
      <c r="O12" s="279"/>
    </row>
    <row r="13" spans="1:15" ht="15" thickBot="1" x14ac:dyDescent="0.4">
      <c r="A13" s="144" t="s">
        <v>57</v>
      </c>
      <c r="B13" s="224">
        <f>SUM(B4:B12)</f>
        <v>1017</v>
      </c>
      <c r="C13" s="203">
        <f>SUM(C4:C12)</f>
        <v>99</v>
      </c>
      <c r="D13" s="352">
        <f t="shared" si="0"/>
        <v>9.7345132743362831E-2</v>
      </c>
      <c r="E13" s="203">
        <f>SUM(E4:E12)</f>
        <v>95</v>
      </c>
      <c r="F13" s="352">
        <f t="shared" si="1"/>
        <v>9.3411996066863318E-2</v>
      </c>
      <c r="G13" s="203">
        <f>SUM(G4:G12)</f>
        <v>19</v>
      </c>
      <c r="H13" s="352">
        <f t="shared" si="2"/>
        <v>1.8682399213372666E-2</v>
      </c>
      <c r="J13" s="278"/>
      <c r="K13" s="279"/>
      <c r="L13" s="279"/>
      <c r="M13" s="279"/>
      <c r="N13" s="279"/>
      <c r="O13" s="279"/>
    </row>
    <row r="14" spans="1:15" x14ac:dyDescent="0.35">
      <c r="J14" s="278"/>
      <c r="K14" s="279"/>
      <c r="L14" s="279"/>
      <c r="M14" s="279"/>
      <c r="N14" s="279"/>
      <c r="O14" s="279"/>
    </row>
    <row r="15" spans="1:15" x14ac:dyDescent="0.35">
      <c r="A15" s="458" t="s">
        <v>130</v>
      </c>
      <c r="B15" s="458"/>
      <c r="C15" s="458"/>
      <c r="D15" s="458"/>
      <c r="E15" s="458"/>
      <c r="F15" s="458"/>
      <c r="J15" s="278"/>
      <c r="K15" s="279"/>
      <c r="L15" s="279"/>
      <c r="M15" s="279"/>
      <c r="N15" s="279"/>
      <c r="O15" s="279"/>
    </row>
    <row r="16" spans="1:15" x14ac:dyDescent="0.35">
      <c r="A16" s="349"/>
      <c r="J16" s="278"/>
      <c r="K16" s="279"/>
      <c r="L16" s="279"/>
      <c r="M16" s="279"/>
      <c r="N16" s="279"/>
      <c r="O16" s="279"/>
    </row>
    <row r="17" spans="5:10" x14ac:dyDescent="0.35">
      <c r="E17" s="278"/>
      <c r="F17" s="290"/>
      <c r="G17" s="290"/>
      <c r="H17" s="290"/>
      <c r="I17" s="290"/>
      <c r="J17" s="290"/>
    </row>
  </sheetData>
  <mergeCells count="2">
    <mergeCell ref="A1:C1"/>
    <mergeCell ref="A15:F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Q19"/>
  <sheetViews>
    <sheetView workbookViewId="0">
      <selection sqref="A1:D1"/>
    </sheetView>
  </sheetViews>
  <sheetFormatPr defaultColWidth="9.1796875" defaultRowHeight="14.5" x14ac:dyDescent="0.35"/>
  <cols>
    <col min="1" max="1" width="31.81640625" style="348" customWidth="1"/>
    <col min="2" max="2" width="10" style="348" bestFit="1" customWidth="1"/>
    <col min="3" max="3" width="16.81640625" style="348" customWidth="1"/>
    <col min="4" max="4" width="15.26953125" style="348" customWidth="1"/>
    <col min="5" max="5" width="17.26953125" style="348" customWidth="1"/>
    <col min="6" max="6" width="13" style="348" customWidth="1"/>
    <col min="7" max="7" width="15.7265625" style="348" customWidth="1"/>
    <col min="8" max="8" width="11.1796875" style="348" customWidth="1"/>
    <col min="9" max="16384" width="9.1796875" style="348"/>
  </cols>
  <sheetData>
    <row r="1" spans="1:17" x14ac:dyDescent="0.35">
      <c r="A1" s="403" t="s">
        <v>211</v>
      </c>
      <c r="B1" s="403"/>
      <c r="C1" s="403"/>
      <c r="D1" s="403"/>
    </row>
    <row r="2" spans="1:17" ht="15" thickBot="1" x14ac:dyDescent="0.4"/>
    <row r="3" spans="1:17" ht="15" thickBot="1" x14ac:dyDescent="0.4">
      <c r="A3" s="139" t="s">
        <v>68</v>
      </c>
      <c r="B3" s="140" t="s">
        <v>57</v>
      </c>
      <c r="C3" s="140" t="s">
        <v>129</v>
      </c>
      <c r="D3" s="141" t="s">
        <v>58</v>
      </c>
      <c r="E3" s="154" t="s">
        <v>128</v>
      </c>
      <c r="F3" s="142" t="s">
        <v>58</v>
      </c>
      <c r="G3" s="154" t="s">
        <v>135</v>
      </c>
      <c r="H3" s="142" t="s">
        <v>58</v>
      </c>
    </row>
    <row r="4" spans="1:17" x14ac:dyDescent="0.35">
      <c r="A4" s="182" t="s">
        <v>151</v>
      </c>
      <c r="B4" s="169">
        <v>19</v>
      </c>
      <c r="C4" s="218">
        <v>0</v>
      </c>
      <c r="D4" s="219">
        <f t="shared" ref="D4:D12" si="0">C4/B4</f>
        <v>0</v>
      </c>
      <c r="E4" s="220">
        <v>1</v>
      </c>
      <c r="F4" s="221">
        <f t="shared" ref="F4:F15" si="1">E4/B4</f>
        <v>5.2631578947368418E-2</v>
      </c>
      <c r="G4" s="220">
        <v>0</v>
      </c>
      <c r="H4" s="221">
        <f t="shared" ref="H4:H15" si="2">G4/B4</f>
        <v>0</v>
      </c>
      <c r="I4" s="222"/>
    </row>
    <row r="5" spans="1:17" x14ac:dyDescent="0.35">
      <c r="A5" s="155" t="s">
        <v>137</v>
      </c>
      <c r="B5" s="170">
        <v>106</v>
      </c>
      <c r="C5" s="218">
        <v>2</v>
      </c>
      <c r="D5" s="219">
        <f t="shared" si="0"/>
        <v>1.8867924528301886E-2</v>
      </c>
      <c r="E5" s="220">
        <v>8</v>
      </c>
      <c r="F5" s="221">
        <f t="shared" si="1"/>
        <v>7.5471698113207544E-2</v>
      </c>
      <c r="G5" s="220">
        <v>1</v>
      </c>
      <c r="H5" s="221">
        <f t="shared" si="2"/>
        <v>9.433962264150943E-3</v>
      </c>
      <c r="I5" s="222"/>
    </row>
    <row r="6" spans="1:17" x14ac:dyDescent="0.35">
      <c r="A6" s="155" t="s">
        <v>174</v>
      </c>
      <c r="B6" s="170">
        <v>25</v>
      </c>
      <c r="C6" s="218">
        <v>0</v>
      </c>
      <c r="D6" s="219">
        <f t="shared" si="0"/>
        <v>0</v>
      </c>
      <c r="E6" s="220">
        <v>0</v>
      </c>
      <c r="F6" s="221">
        <f t="shared" si="1"/>
        <v>0</v>
      </c>
      <c r="G6" s="220">
        <v>0</v>
      </c>
      <c r="H6" s="221">
        <f t="shared" si="2"/>
        <v>0</v>
      </c>
      <c r="I6" s="222"/>
      <c r="J6" s="457"/>
      <c r="K6" s="457"/>
      <c r="L6" s="457"/>
      <c r="M6" s="457"/>
      <c r="N6" s="457"/>
      <c r="O6" s="457"/>
      <c r="P6" s="457"/>
      <c r="Q6" s="457"/>
    </row>
    <row r="7" spans="1:17" x14ac:dyDescent="0.35">
      <c r="A7" s="155" t="s">
        <v>175</v>
      </c>
      <c r="B7" s="170">
        <v>12</v>
      </c>
      <c r="C7" s="218">
        <v>0</v>
      </c>
      <c r="D7" s="219">
        <f t="shared" si="0"/>
        <v>0</v>
      </c>
      <c r="E7" s="220">
        <v>0</v>
      </c>
      <c r="F7" s="221">
        <f t="shared" si="1"/>
        <v>0</v>
      </c>
      <c r="G7" s="220">
        <v>0</v>
      </c>
      <c r="H7" s="221">
        <f t="shared" si="2"/>
        <v>0</v>
      </c>
      <c r="I7" s="222"/>
      <c r="J7" s="457"/>
      <c r="K7" s="457"/>
      <c r="L7" s="457"/>
      <c r="M7" s="457"/>
      <c r="N7" s="457"/>
      <c r="O7" s="457"/>
      <c r="P7" s="457"/>
      <c r="Q7" s="457"/>
    </row>
    <row r="8" spans="1:17" x14ac:dyDescent="0.35">
      <c r="A8" s="155" t="s">
        <v>138</v>
      </c>
      <c r="B8" s="170">
        <v>58</v>
      </c>
      <c r="C8" s="218">
        <v>21</v>
      </c>
      <c r="D8" s="219">
        <f t="shared" si="0"/>
        <v>0.36206896551724138</v>
      </c>
      <c r="E8" s="220">
        <v>6</v>
      </c>
      <c r="F8" s="221">
        <f t="shared" si="1"/>
        <v>0.10344827586206896</v>
      </c>
      <c r="G8" s="220">
        <v>5</v>
      </c>
      <c r="H8" s="221">
        <f t="shared" si="2"/>
        <v>8.6206896551724144E-2</v>
      </c>
      <c r="I8" s="222"/>
    </row>
    <row r="9" spans="1:17" x14ac:dyDescent="0.35">
      <c r="A9" s="155" t="s">
        <v>139</v>
      </c>
      <c r="B9" s="170">
        <v>440</v>
      </c>
      <c r="C9" s="218">
        <v>66</v>
      </c>
      <c r="D9" s="219">
        <f t="shared" si="0"/>
        <v>0.15</v>
      </c>
      <c r="E9" s="220">
        <v>45</v>
      </c>
      <c r="F9" s="221">
        <f t="shared" si="1"/>
        <v>0.10227272727272728</v>
      </c>
      <c r="G9" s="220">
        <v>9</v>
      </c>
      <c r="H9" s="221">
        <f t="shared" si="2"/>
        <v>2.0454545454545454E-2</v>
      </c>
      <c r="I9" s="222"/>
    </row>
    <row r="10" spans="1:17" x14ac:dyDescent="0.35">
      <c r="A10" s="155" t="s">
        <v>123</v>
      </c>
      <c r="B10" s="184">
        <v>182</v>
      </c>
      <c r="C10" s="218">
        <v>5</v>
      </c>
      <c r="D10" s="219">
        <f t="shared" si="0"/>
        <v>2.7472527472527472E-2</v>
      </c>
      <c r="E10" s="220">
        <v>22</v>
      </c>
      <c r="F10" s="221">
        <f t="shared" si="1"/>
        <v>0.12087912087912088</v>
      </c>
      <c r="G10" s="220">
        <v>2</v>
      </c>
      <c r="H10" s="221">
        <f t="shared" si="2"/>
        <v>1.098901098901099E-2</v>
      </c>
      <c r="I10" s="222"/>
    </row>
    <row r="11" spans="1:17" s="390" customFormat="1" x14ac:dyDescent="0.35">
      <c r="A11" s="392" t="s">
        <v>176</v>
      </c>
      <c r="B11" s="184">
        <v>55</v>
      </c>
      <c r="C11" s="218">
        <v>1</v>
      </c>
      <c r="D11" s="219">
        <f t="shared" ref="D11" si="3">C11/B11</f>
        <v>1.8181818181818181E-2</v>
      </c>
      <c r="E11" s="220">
        <v>1</v>
      </c>
      <c r="F11" s="221">
        <f t="shared" ref="F11" si="4">E11/B11</f>
        <v>1.8181818181818181E-2</v>
      </c>
      <c r="G11" s="220">
        <v>0</v>
      </c>
      <c r="H11" s="221">
        <f t="shared" ref="H11" si="5">G11/B11</f>
        <v>0</v>
      </c>
      <c r="I11" s="222"/>
    </row>
    <row r="12" spans="1:17" x14ac:dyDescent="0.35">
      <c r="A12" s="392" t="s">
        <v>50</v>
      </c>
      <c r="B12" s="184">
        <v>41</v>
      </c>
      <c r="C12" s="218">
        <v>0</v>
      </c>
      <c r="D12" s="219">
        <f t="shared" si="0"/>
        <v>0</v>
      </c>
      <c r="E12" s="220">
        <v>4</v>
      </c>
      <c r="F12" s="221">
        <f t="shared" si="1"/>
        <v>9.7560975609756101E-2</v>
      </c>
      <c r="G12" s="220">
        <v>0</v>
      </c>
      <c r="H12" s="221">
        <f t="shared" si="2"/>
        <v>0</v>
      </c>
      <c r="I12" s="222"/>
    </row>
    <row r="13" spans="1:17" s="390" customFormat="1" x14ac:dyDescent="0.35">
      <c r="A13" s="393" t="s">
        <v>146</v>
      </c>
      <c r="B13" s="184">
        <v>77</v>
      </c>
      <c r="C13" s="218">
        <v>4</v>
      </c>
      <c r="D13" s="219">
        <f t="shared" ref="D13" si="6">C13/B13</f>
        <v>5.1948051948051951E-2</v>
      </c>
      <c r="E13" s="220">
        <v>8</v>
      </c>
      <c r="F13" s="221">
        <f t="shared" ref="F13" si="7">E13/B13</f>
        <v>0.1038961038961039</v>
      </c>
      <c r="G13" s="220">
        <v>2</v>
      </c>
      <c r="H13" s="221">
        <f t="shared" ref="H13" si="8">G13/B13</f>
        <v>2.5974025974025976E-2</v>
      </c>
      <c r="I13" s="222"/>
    </row>
    <row r="14" spans="1:17" s="390" customFormat="1" ht="15" thickBot="1" x14ac:dyDescent="0.4">
      <c r="A14" s="398" t="s">
        <v>180</v>
      </c>
      <c r="B14" s="397">
        <v>2</v>
      </c>
      <c r="C14" s="218">
        <v>0</v>
      </c>
      <c r="D14" s="219">
        <f t="shared" ref="D14" si="9">C14/B14</f>
        <v>0</v>
      </c>
      <c r="E14" s="220">
        <v>0</v>
      </c>
      <c r="F14" s="221">
        <f t="shared" ref="F14" si="10">E14/B14</f>
        <v>0</v>
      </c>
      <c r="G14" s="220">
        <v>0</v>
      </c>
      <c r="H14" s="221">
        <f t="shared" ref="H14" si="11">G14/B14</f>
        <v>0</v>
      </c>
      <c r="I14" s="222"/>
    </row>
    <row r="15" spans="1:17" ht="15" thickBot="1" x14ac:dyDescent="0.4">
      <c r="A15" s="399" t="s">
        <v>57</v>
      </c>
      <c r="B15" s="224">
        <f>SUM(B4:B14)</f>
        <v>1017</v>
      </c>
      <c r="C15" s="190">
        <f>SUM(C4:C14)</f>
        <v>99</v>
      </c>
      <c r="D15" s="354">
        <f>C15/B15</f>
        <v>9.7345132743362831E-2</v>
      </c>
      <c r="E15" s="203">
        <f>SUM(E4:E14)</f>
        <v>95</v>
      </c>
      <c r="F15" s="355">
        <f t="shared" si="1"/>
        <v>9.3411996066863318E-2</v>
      </c>
      <c r="G15" s="203">
        <f>SUM(G4:G14)</f>
        <v>19</v>
      </c>
      <c r="H15" s="355">
        <f t="shared" si="2"/>
        <v>1.8682399213372666E-2</v>
      </c>
      <c r="I15" s="222"/>
    </row>
    <row r="16" spans="1:17" x14ac:dyDescent="0.35">
      <c r="A16" s="157"/>
      <c r="B16" s="17"/>
      <c r="C16" s="223"/>
      <c r="D16" s="223"/>
      <c r="E16" s="223"/>
      <c r="F16" s="223"/>
      <c r="G16" s="223"/>
      <c r="H16" s="223"/>
      <c r="I16" s="222"/>
    </row>
    <row r="17" spans="1:12" x14ac:dyDescent="0.35">
      <c r="A17" s="458" t="s">
        <v>130</v>
      </c>
      <c r="B17" s="458"/>
      <c r="C17" s="458"/>
      <c r="D17" s="458"/>
      <c r="E17" s="458"/>
      <c r="F17" s="458"/>
      <c r="G17" s="222"/>
      <c r="H17" s="222"/>
      <c r="I17" s="222"/>
      <c r="J17" s="222"/>
      <c r="K17" s="222"/>
      <c r="L17" s="222"/>
    </row>
    <row r="18" spans="1:12" x14ac:dyDescent="0.35">
      <c r="A18" s="350"/>
      <c r="B18" s="350"/>
      <c r="C18" s="350"/>
      <c r="D18" s="350"/>
      <c r="E18" s="350"/>
      <c r="F18" s="350"/>
      <c r="G18" s="222"/>
      <c r="H18" s="222"/>
      <c r="I18" s="222"/>
      <c r="J18" s="222"/>
      <c r="K18" s="222"/>
      <c r="L18" s="222"/>
    </row>
    <row r="19" spans="1:12" x14ac:dyDescent="0.35">
      <c r="A19" s="9" t="s">
        <v>145</v>
      </c>
    </row>
  </sheetData>
  <mergeCells count="3">
    <mergeCell ref="A1:D1"/>
    <mergeCell ref="A17:F17"/>
    <mergeCell ref="J6:Q7"/>
  </mergeCells>
  <pageMargins left="0.25" right="0.25" top="0.75" bottom="0.75" header="0.3" footer="0.3"/>
  <pageSetup paperSize="9" scale="6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249977111117893"/>
  </sheetPr>
  <dimension ref="A1:H12"/>
  <sheetViews>
    <sheetView workbookViewId="0">
      <selection sqref="A1:E1"/>
    </sheetView>
  </sheetViews>
  <sheetFormatPr defaultColWidth="9.1796875" defaultRowHeight="14.5" x14ac:dyDescent="0.35"/>
  <cols>
    <col min="1" max="1" width="18.81640625" style="348" customWidth="1"/>
    <col min="2" max="2" width="12" style="348" customWidth="1"/>
    <col min="3" max="3" width="9.26953125" style="348" customWidth="1"/>
    <col min="4" max="4" width="7.453125" style="348" customWidth="1"/>
    <col min="5" max="5" width="13.1796875" style="348" customWidth="1"/>
    <col min="6" max="6" width="9.81640625" style="348" bestFit="1" customWidth="1"/>
    <col min="7" max="7" width="15.54296875" style="348" customWidth="1"/>
    <col min="8" max="8" width="11.453125" style="348" bestFit="1" customWidth="1"/>
    <col min="9" max="16384" width="9.1796875" style="348"/>
  </cols>
  <sheetData>
    <row r="1" spans="1:8" x14ac:dyDescent="0.35">
      <c r="A1" s="403" t="s">
        <v>212</v>
      </c>
      <c r="B1" s="403"/>
      <c r="C1" s="403"/>
      <c r="D1" s="403"/>
      <c r="E1" s="403"/>
    </row>
    <row r="2" spans="1:8" ht="15" thickBot="1" x14ac:dyDescent="0.4">
      <c r="A2" s="158"/>
    </row>
    <row r="3" spans="1:8" ht="15" thickBot="1" x14ac:dyDescent="0.4">
      <c r="A3" s="168"/>
      <c r="B3" s="264" t="s">
        <v>2</v>
      </c>
      <c r="C3" s="265" t="s">
        <v>167</v>
      </c>
      <c r="D3" s="266" t="s">
        <v>170</v>
      </c>
      <c r="E3" s="267" t="s">
        <v>37</v>
      </c>
      <c r="F3" s="266" t="s">
        <v>95</v>
      </c>
      <c r="G3" s="267" t="s">
        <v>96</v>
      </c>
      <c r="H3" s="266" t="s">
        <v>97</v>
      </c>
    </row>
    <row r="4" spans="1:8" ht="15" thickBot="1" x14ac:dyDescent="0.4">
      <c r="A4" s="268" t="s">
        <v>98</v>
      </c>
      <c r="B4" s="269">
        <v>47</v>
      </c>
      <c r="C4" s="270">
        <v>12</v>
      </c>
      <c r="D4" s="271">
        <f>C4/B4</f>
        <v>0.25531914893617019</v>
      </c>
      <c r="E4" s="270">
        <v>30</v>
      </c>
      <c r="F4" s="271">
        <f>E4/B4</f>
        <v>0.63829787234042556</v>
      </c>
      <c r="G4" s="270">
        <v>6</v>
      </c>
      <c r="H4" s="272">
        <f>G4/B4</f>
        <v>0.1276595744680851</v>
      </c>
    </row>
    <row r="5" spans="1:8" ht="15" thickBot="1" x14ac:dyDescent="0.4">
      <c r="A5" s="268" t="s">
        <v>51</v>
      </c>
      <c r="B5" s="273">
        <v>72</v>
      </c>
      <c r="C5" s="274">
        <v>19</v>
      </c>
      <c r="D5" s="275">
        <f>C5/B5</f>
        <v>0.2638888888888889</v>
      </c>
      <c r="E5" s="274">
        <v>49</v>
      </c>
      <c r="F5" s="275">
        <f>E5/B5</f>
        <v>0.68055555555555558</v>
      </c>
      <c r="G5" s="274">
        <v>8</v>
      </c>
      <c r="H5" s="276">
        <f>G5/B5</f>
        <v>0.1111111111111111</v>
      </c>
    </row>
    <row r="6" spans="1:8" ht="15" thickBot="1" x14ac:dyDescent="0.4">
      <c r="A6" s="242" t="s">
        <v>148</v>
      </c>
      <c r="B6" s="356">
        <v>123</v>
      </c>
      <c r="C6" s="356">
        <v>32</v>
      </c>
      <c r="D6" s="357">
        <f>C6/B6</f>
        <v>0.26016260162601629</v>
      </c>
      <c r="E6" s="356">
        <v>78</v>
      </c>
      <c r="F6" s="357">
        <f>E6/B6</f>
        <v>0.63414634146341464</v>
      </c>
      <c r="G6" s="356">
        <v>15</v>
      </c>
      <c r="H6" s="357">
        <f>G6/B6</f>
        <v>0.12195121951219512</v>
      </c>
    </row>
    <row r="8" spans="1:8" x14ac:dyDescent="0.35">
      <c r="A8" s="9" t="s">
        <v>145</v>
      </c>
    </row>
    <row r="10" spans="1:8" x14ac:dyDescent="0.35">
      <c r="A10" s="9" t="s">
        <v>147</v>
      </c>
    </row>
    <row r="12" spans="1:8" x14ac:dyDescent="0.35">
      <c r="A12" s="459" t="s">
        <v>159</v>
      </c>
      <c r="B12" s="459"/>
      <c r="C12" s="459"/>
      <c r="D12" s="459"/>
    </row>
  </sheetData>
  <mergeCells count="2">
    <mergeCell ref="A1:E1"/>
    <mergeCell ref="A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C14"/>
  <sheetViews>
    <sheetView workbookViewId="0">
      <selection sqref="A1:D1"/>
    </sheetView>
  </sheetViews>
  <sheetFormatPr defaultRowHeight="14.5" x14ac:dyDescent="0.35"/>
  <cols>
    <col min="1" max="1" width="32.54296875" customWidth="1"/>
    <col min="2" max="13" width="10.7265625" customWidth="1"/>
    <col min="14" max="27" width="10.7265625" style="384" customWidth="1"/>
    <col min="28" max="29" width="10.7265625" customWidth="1"/>
    <col min="30" max="30" width="8.453125" customWidth="1"/>
    <col min="31" max="31" width="12.81640625" bestFit="1" customWidth="1"/>
    <col min="32" max="32" width="15" bestFit="1" customWidth="1"/>
    <col min="33" max="33" width="19.7265625" bestFit="1" customWidth="1"/>
    <col min="34" max="34" width="15" bestFit="1" customWidth="1"/>
    <col min="35" max="35" width="12.81640625" bestFit="1" customWidth="1"/>
    <col min="36" max="36" width="15" bestFit="1" customWidth="1"/>
    <col min="37" max="37" width="12.81640625" bestFit="1" customWidth="1"/>
    <col min="38" max="38" width="15" bestFit="1" customWidth="1"/>
  </cols>
  <sheetData>
    <row r="1" spans="1:29" s="325" customFormat="1" x14ac:dyDescent="0.35">
      <c r="A1" s="403" t="s">
        <v>199</v>
      </c>
      <c r="B1" s="403"/>
      <c r="C1" s="403"/>
      <c r="D1" s="403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</row>
    <row r="2" spans="1:29" s="325" customFormat="1" ht="15" thickBot="1" x14ac:dyDescent="0.4"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</row>
    <row r="3" spans="1:29" s="325" customFormat="1" ht="45" customHeight="1" thickBot="1" x14ac:dyDescent="0.4">
      <c r="A3" s="78" t="s">
        <v>6</v>
      </c>
      <c r="B3" s="406" t="s">
        <v>151</v>
      </c>
      <c r="C3" s="407"/>
      <c r="D3" s="407" t="s">
        <v>173</v>
      </c>
      <c r="E3" s="407"/>
      <c r="F3" s="407" t="s">
        <v>174</v>
      </c>
      <c r="G3" s="407"/>
      <c r="H3" s="407" t="s">
        <v>175</v>
      </c>
      <c r="I3" s="407"/>
      <c r="J3" s="407" t="s">
        <v>66</v>
      </c>
      <c r="K3" s="407"/>
      <c r="L3" s="407" t="s">
        <v>176</v>
      </c>
      <c r="M3" s="408"/>
      <c r="N3" s="406" t="s">
        <v>177</v>
      </c>
      <c r="O3" s="407"/>
      <c r="P3" s="407" t="s">
        <v>50</v>
      </c>
      <c r="Q3" s="407"/>
      <c r="R3" s="407" t="s">
        <v>178</v>
      </c>
      <c r="S3" s="407"/>
      <c r="T3" s="407" t="s">
        <v>146</v>
      </c>
      <c r="U3" s="407"/>
      <c r="V3" s="407" t="s">
        <v>179</v>
      </c>
      <c r="W3" s="407"/>
      <c r="X3" s="407" t="s">
        <v>180</v>
      </c>
      <c r="Y3" s="407"/>
      <c r="Z3" s="407" t="s">
        <v>181</v>
      </c>
      <c r="AA3" s="408"/>
      <c r="AB3" s="404" t="s">
        <v>29</v>
      </c>
      <c r="AC3" s="405"/>
    </row>
    <row r="4" spans="1:29" s="1" customFormat="1" ht="29.5" thickBot="1" x14ac:dyDescent="0.4">
      <c r="A4" s="374"/>
      <c r="B4" s="377" t="s">
        <v>4</v>
      </c>
      <c r="C4" s="122" t="s">
        <v>5</v>
      </c>
      <c r="D4" s="122" t="s">
        <v>4</v>
      </c>
      <c r="E4" s="122" t="s">
        <v>5</v>
      </c>
      <c r="F4" s="122" t="s">
        <v>4</v>
      </c>
      <c r="G4" s="122" t="s">
        <v>5</v>
      </c>
      <c r="H4" s="122" t="s">
        <v>4</v>
      </c>
      <c r="I4" s="122" t="s">
        <v>5</v>
      </c>
      <c r="J4" s="122" t="s">
        <v>4</v>
      </c>
      <c r="K4" s="7" t="s">
        <v>5</v>
      </c>
      <c r="L4" s="7" t="s">
        <v>4</v>
      </c>
      <c r="M4" s="7" t="s">
        <v>5</v>
      </c>
      <c r="N4" s="7" t="s">
        <v>4</v>
      </c>
      <c r="O4" s="7" t="s">
        <v>5</v>
      </c>
      <c r="P4" s="7" t="s">
        <v>4</v>
      </c>
      <c r="Q4" s="7" t="s">
        <v>5</v>
      </c>
      <c r="R4" s="7" t="s">
        <v>4</v>
      </c>
      <c r="S4" s="7" t="s">
        <v>5</v>
      </c>
      <c r="T4" s="7" t="s">
        <v>4</v>
      </c>
      <c r="U4" s="7" t="s">
        <v>5</v>
      </c>
      <c r="V4" s="7" t="s">
        <v>4</v>
      </c>
      <c r="W4" s="7" t="s">
        <v>5</v>
      </c>
      <c r="X4" s="7" t="s">
        <v>4</v>
      </c>
      <c r="Y4" s="7" t="s">
        <v>5</v>
      </c>
      <c r="Z4" s="7" t="s">
        <v>4</v>
      </c>
      <c r="AA4" s="38" t="s">
        <v>5</v>
      </c>
      <c r="AB4" s="44" t="s">
        <v>4</v>
      </c>
      <c r="AC4" s="8" t="s">
        <v>5</v>
      </c>
    </row>
    <row r="5" spans="1:29" s="325" customFormat="1" x14ac:dyDescent="0.35">
      <c r="A5" s="375" t="s">
        <v>167</v>
      </c>
      <c r="B5" s="174">
        <v>4</v>
      </c>
      <c r="C5" s="129">
        <f>B5/$B$10</f>
        <v>0.21052631578947367</v>
      </c>
      <c r="D5" s="187">
        <v>4</v>
      </c>
      <c r="E5" s="129">
        <f>D5/$D$10</f>
        <v>0.05</v>
      </c>
      <c r="F5" s="187">
        <v>7</v>
      </c>
      <c r="G5" s="129">
        <f>F5/$F$10</f>
        <v>0.28000000000000003</v>
      </c>
      <c r="H5" s="187">
        <v>1</v>
      </c>
      <c r="I5" s="129">
        <f>H5/$H$10</f>
        <v>8.3333333333333329E-2</v>
      </c>
      <c r="J5" s="187">
        <v>0</v>
      </c>
      <c r="K5" s="129">
        <f>J5/$J$10</f>
        <v>0</v>
      </c>
      <c r="L5" s="187">
        <v>12</v>
      </c>
      <c r="M5" s="35">
        <f>L5/$L$10</f>
        <v>0.21818181818181817</v>
      </c>
      <c r="N5" s="187">
        <v>0</v>
      </c>
      <c r="O5" s="35">
        <f>N5/$L$10</f>
        <v>0</v>
      </c>
      <c r="P5" s="187">
        <v>5</v>
      </c>
      <c r="Q5" s="35">
        <f>P5/$L$10</f>
        <v>9.0909090909090912E-2</v>
      </c>
      <c r="R5" s="187">
        <v>28</v>
      </c>
      <c r="S5" s="35">
        <f>R5/$L$10</f>
        <v>0.50909090909090904</v>
      </c>
      <c r="T5" s="187">
        <v>20</v>
      </c>
      <c r="U5" s="35">
        <f>T5/$L$10</f>
        <v>0.36363636363636365</v>
      </c>
      <c r="V5" s="187">
        <v>69</v>
      </c>
      <c r="W5" s="35">
        <f>V5/$L$10</f>
        <v>1.2545454545454546</v>
      </c>
      <c r="X5" s="187">
        <v>0</v>
      </c>
      <c r="Y5" s="35">
        <f>X5/$L$10</f>
        <v>0</v>
      </c>
      <c r="Z5" s="187">
        <v>25</v>
      </c>
      <c r="AA5" s="314">
        <f>Z5/$L$10</f>
        <v>0.45454545454545453</v>
      </c>
      <c r="AB5" s="174">
        <f>B5+D5+F5+H5+J5+L5+N5+P5+R5+T5+V5+X5+Z5</f>
        <v>175</v>
      </c>
      <c r="AC5" s="65">
        <f>AB5/$AB$10</f>
        <v>0.17207472959685349</v>
      </c>
    </row>
    <row r="6" spans="1:29" s="325" customFormat="1" x14ac:dyDescent="0.35">
      <c r="A6" s="376" t="s">
        <v>30</v>
      </c>
      <c r="B6" s="174">
        <v>3</v>
      </c>
      <c r="C6" s="130">
        <f>B6/$B$10</f>
        <v>0.15789473684210525</v>
      </c>
      <c r="D6" s="187">
        <v>3</v>
      </c>
      <c r="E6" s="130">
        <f>D6/$D$10</f>
        <v>3.7499999999999999E-2</v>
      </c>
      <c r="F6" s="187">
        <v>1</v>
      </c>
      <c r="G6" s="130">
        <f>F6/$F$10</f>
        <v>0.04</v>
      </c>
      <c r="H6" s="187">
        <v>3</v>
      </c>
      <c r="I6" s="130">
        <f>H6/$H$10</f>
        <v>0.25</v>
      </c>
      <c r="J6" s="187">
        <v>5</v>
      </c>
      <c r="K6" s="130">
        <f>J6/$J$10</f>
        <v>8.6206896551724144E-2</v>
      </c>
      <c r="L6" s="187">
        <v>1</v>
      </c>
      <c r="M6" s="27">
        <f>L6/$L$10</f>
        <v>1.8181818181818181E-2</v>
      </c>
      <c r="N6" s="187">
        <v>0</v>
      </c>
      <c r="O6" s="27">
        <f>N6/$L$10</f>
        <v>0</v>
      </c>
      <c r="P6" s="187">
        <v>1</v>
      </c>
      <c r="Q6" s="27">
        <f>P6/$L$10</f>
        <v>1.8181818181818181E-2</v>
      </c>
      <c r="R6" s="187">
        <v>2</v>
      </c>
      <c r="S6" s="27">
        <f>R6/$L$10</f>
        <v>3.6363636363636362E-2</v>
      </c>
      <c r="T6" s="187">
        <v>2</v>
      </c>
      <c r="U6" s="27">
        <f>T6/$L$10</f>
        <v>3.6363636363636362E-2</v>
      </c>
      <c r="V6" s="187">
        <v>7</v>
      </c>
      <c r="W6" s="27">
        <f>V6/$L$10</f>
        <v>0.12727272727272726</v>
      </c>
      <c r="X6" s="187">
        <v>0</v>
      </c>
      <c r="Y6" s="27">
        <f>X6/$L$10</f>
        <v>0</v>
      </c>
      <c r="Z6" s="187">
        <v>5</v>
      </c>
      <c r="AA6" s="385">
        <f>Z6/$L$10</f>
        <v>9.0909090909090912E-2</v>
      </c>
      <c r="AB6" s="174">
        <f t="shared" ref="AB6:AB10" si="0">B6+D6+F6+H6+J6+L6+N6+P6+R6+T6+V6+X6+Z6</f>
        <v>33</v>
      </c>
      <c r="AC6" s="66">
        <f>AB6/$AB$10</f>
        <v>3.2448377581120944E-2</v>
      </c>
    </row>
    <row r="7" spans="1:29" s="325" customFormat="1" x14ac:dyDescent="0.35">
      <c r="A7" s="381" t="s">
        <v>24</v>
      </c>
      <c r="B7" s="370">
        <v>10</v>
      </c>
      <c r="C7" s="131">
        <f>B7/$B$10</f>
        <v>0.52631578947368418</v>
      </c>
      <c r="D7" s="372">
        <v>68</v>
      </c>
      <c r="E7" s="131">
        <f>D7/$D$10</f>
        <v>0.85</v>
      </c>
      <c r="F7" s="372">
        <v>16</v>
      </c>
      <c r="G7" s="131">
        <f>F7/$F$10</f>
        <v>0.64</v>
      </c>
      <c r="H7" s="372">
        <v>7</v>
      </c>
      <c r="I7" s="131">
        <f>H7/$H$10</f>
        <v>0.58333333333333337</v>
      </c>
      <c r="J7" s="372">
        <v>50</v>
      </c>
      <c r="K7" s="131">
        <f>J7/$J$10</f>
        <v>0.86206896551724133</v>
      </c>
      <c r="L7" s="372">
        <v>42</v>
      </c>
      <c r="M7" s="28">
        <f>L7/$L$10</f>
        <v>0.76363636363636367</v>
      </c>
      <c r="N7" s="372">
        <v>0</v>
      </c>
      <c r="O7" s="28">
        <f>N7/$L$10</f>
        <v>0</v>
      </c>
      <c r="P7" s="372">
        <v>33</v>
      </c>
      <c r="Q7" s="28">
        <f>P7/$L$10</f>
        <v>0.6</v>
      </c>
      <c r="R7" s="372">
        <v>93</v>
      </c>
      <c r="S7" s="28">
        <f>R7/$L$10</f>
        <v>1.6909090909090909</v>
      </c>
      <c r="T7" s="372">
        <v>52</v>
      </c>
      <c r="U7" s="28">
        <f>T7/$L$10</f>
        <v>0.94545454545454544</v>
      </c>
      <c r="V7" s="372">
        <v>255</v>
      </c>
      <c r="W7" s="28">
        <f>V7/$L$10</f>
        <v>4.6363636363636367</v>
      </c>
      <c r="X7" s="372">
        <v>2</v>
      </c>
      <c r="Y7" s="28">
        <f>X7/$L$10</f>
        <v>3.6363636363636362E-2</v>
      </c>
      <c r="Z7" s="372">
        <v>146</v>
      </c>
      <c r="AA7" s="386">
        <f>Z7/$L$10</f>
        <v>2.6545454545454548</v>
      </c>
      <c r="AB7" s="174">
        <f t="shared" si="0"/>
        <v>774</v>
      </c>
      <c r="AC7" s="67">
        <f>AB7/$AB$10</f>
        <v>0.76106194690265483</v>
      </c>
    </row>
    <row r="8" spans="1:29" s="369" customFormat="1" x14ac:dyDescent="0.35">
      <c r="A8" s="380" t="s">
        <v>18</v>
      </c>
      <c r="B8" s="253">
        <v>0</v>
      </c>
      <c r="C8" s="131">
        <f t="shared" ref="C8:C9" si="1">B8/$B$10</f>
        <v>0</v>
      </c>
      <c r="D8" s="178">
        <v>2</v>
      </c>
      <c r="E8" s="131">
        <f t="shared" ref="E8:E9" si="2">D8/$D$10</f>
        <v>2.5000000000000001E-2</v>
      </c>
      <c r="F8" s="178">
        <v>0</v>
      </c>
      <c r="G8" s="131">
        <f t="shared" ref="G8:G9" si="3">F8/$F$10</f>
        <v>0</v>
      </c>
      <c r="H8" s="178">
        <v>1</v>
      </c>
      <c r="I8" s="131">
        <f t="shared" ref="I8:I9" si="4">H8/$H$10</f>
        <v>8.3333333333333329E-2</v>
      </c>
      <c r="J8" s="178">
        <v>3</v>
      </c>
      <c r="K8" s="131">
        <f t="shared" ref="K8:K9" si="5">J8/$J$10</f>
        <v>5.1724137931034482E-2</v>
      </c>
      <c r="L8" s="178">
        <v>0</v>
      </c>
      <c r="M8" s="28">
        <f>L8/$L$10</f>
        <v>0</v>
      </c>
      <c r="N8" s="178">
        <v>0</v>
      </c>
      <c r="O8" s="28">
        <f>N8/$L$10</f>
        <v>0</v>
      </c>
      <c r="P8" s="178">
        <v>1</v>
      </c>
      <c r="Q8" s="28">
        <f>P8/$L$10</f>
        <v>1.8181818181818181E-2</v>
      </c>
      <c r="R8" s="178">
        <v>1</v>
      </c>
      <c r="S8" s="28">
        <f>R8/$L$10</f>
        <v>1.8181818181818181E-2</v>
      </c>
      <c r="T8" s="178">
        <v>2</v>
      </c>
      <c r="U8" s="28">
        <f>T8/$L$10</f>
        <v>3.6363636363636362E-2</v>
      </c>
      <c r="V8" s="178">
        <v>4</v>
      </c>
      <c r="W8" s="28">
        <f>V8/$L$10</f>
        <v>7.2727272727272724E-2</v>
      </c>
      <c r="X8" s="178">
        <v>0</v>
      </c>
      <c r="Y8" s="28">
        <f>X8/$L$10</f>
        <v>0</v>
      </c>
      <c r="Z8" s="178">
        <v>2</v>
      </c>
      <c r="AA8" s="386">
        <f>Z8/$L$10</f>
        <v>3.6363636363636362E-2</v>
      </c>
      <c r="AB8" s="174">
        <f t="shared" si="0"/>
        <v>16</v>
      </c>
      <c r="AC8" s="67">
        <f t="shared" ref="AC8:AC9" si="6">AB8/$AB$10</f>
        <v>1.5732546705998034E-2</v>
      </c>
    </row>
    <row r="9" spans="1:29" s="369" customFormat="1" ht="15" thickBot="1" x14ac:dyDescent="0.4">
      <c r="A9" s="373" t="s">
        <v>25</v>
      </c>
      <c r="B9" s="378">
        <v>2</v>
      </c>
      <c r="C9" s="131">
        <f t="shared" si="1"/>
        <v>0.10526315789473684</v>
      </c>
      <c r="D9" s="379">
        <v>3</v>
      </c>
      <c r="E9" s="131">
        <f t="shared" si="2"/>
        <v>3.7499999999999999E-2</v>
      </c>
      <c r="F9" s="379">
        <v>1</v>
      </c>
      <c r="G9" s="131">
        <f t="shared" si="3"/>
        <v>0.04</v>
      </c>
      <c r="H9" s="379">
        <v>0</v>
      </c>
      <c r="I9" s="131">
        <f t="shared" si="4"/>
        <v>0</v>
      </c>
      <c r="J9" s="379">
        <v>0</v>
      </c>
      <c r="K9" s="131">
        <f t="shared" si="5"/>
        <v>0</v>
      </c>
      <c r="L9" s="379">
        <v>0</v>
      </c>
      <c r="M9" s="28">
        <f>L9/$L$10</f>
        <v>0</v>
      </c>
      <c r="N9" s="379">
        <v>0</v>
      </c>
      <c r="O9" s="28">
        <f>N9/$L$10</f>
        <v>0</v>
      </c>
      <c r="P9" s="379">
        <v>1</v>
      </c>
      <c r="Q9" s="28">
        <f>P9/$L$10</f>
        <v>1.8181818181818181E-2</v>
      </c>
      <c r="R9" s="379">
        <v>2</v>
      </c>
      <c r="S9" s="28">
        <f>R9/$L$10</f>
        <v>3.6363636363636362E-2</v>
      </c>
      <c r="T9" s="379">
        <v>1</v>
      </c>
      <c r="U9" s="28">
        <f>T9/$L$10</f>
        <v>1.8181818181818181E-2</v>
      </c>
      <c r="V9" s="379">
        <v>5</v>
      </c>
      <c r="W9" s="28">
        <f>V9/$L$10</f>
        <v>9.0909090909090912E-2</v>
      </c>
      <c r="X9" s="379">
        <v>0</v>
      </c>
      <c r="Y9" s="28">
        <f>X9/$L$10</f>
        <v>0</v>
      </c>
      <c r="Z9" s="379">
        <v>4</v>
      </c>
      <c r="AA9" s="386">
        <f>Z9/$L$10</f>
        <v>7.2727272727272724E-2</v>
      </c>
      <c r="AB9" s="370">
        <f t="shared" si="0"/>
        <v>19</v>
      </c>
      <c r="AC9" s="67">
        <f t="shared" si="6"/>
        <v>1.8682399213372666E-2</v>
      </c>
    </row>
    <row r="10" spans="1:29" s="325" customFormat="1" ht="15" thickBot="1" x14ac:dyDescent="0.4">
      <c r="A10" s="19" t="s">
        <v>2</v>
      </c>
      <c r="B10" s="125">
        <f>SUM(B5:B9)</f>
        <v>19</v>
      </c>
      <c r="C10" s="126">
        <f>B10/$AB$10</f>
        <v>1.8682399213372666E-2</v>
      </c>
      <c r="D10" s="127">
        <f>SUM(D5:D9)</f>
        <v>80</v>
      </c>
      <c r="E10" s="126">
        <f>D10/$AB$10</f>
        <v>7.8662733529990161E-2</v>
      </c>
      <c r="F10" s="127">
        <f>SUM(F5:F9)</f>
        <v>25</v>
      </c>
      <c r="G10" s="126">
        <f>F10/$AB$10</f>
        <v>2.4582104228121928E-2</v>
      </c>
      <c r="H10" s="127">
        <f>SUM(H5:H9)</f>
        <v>12</v>
      </c>
      <c r="I10" s="126">
        <f>H10/$AB$10</f>
        <v>1.1799410029498525E-2</v>
      </c>
      <c r="J10" s="201">
        <f>SUM(J5:J9)</f>
        <v>58</v>
      </c>
      <c r="K10" s="199">
        <f>J10/$AB$10</f>
        <v>5.7030481809242868E-2</v>
      </c>
      <c r="L10" s="202">
        <f>SUM(L5:L9)</f>
        <v>55</v>
      </c>
      <c r="M10" s="5">
        <f>L10/$AB$10</f>
        <v>5.4080629301868237E-2</v>
      </c>
      <c r="N10" s="202">
        <f>SUM(N5:N9)</f>
        <v>0</v>
      </c>
      <c r="O10" s="5">
        <f>N10/$AB$10</f>
        <v>0</v>
      </c>
      <c r="P10" s="202">
        <f>SUM(P5:P9)</f>
        <v>41</v>
      </c>
      <c r="Q10" s="5">
        <f>P10/$AB$10</f>
        <v>4.0314650934119962E-2</v>
      </c>
      <c r="R10" s="202">
        <f>SUM(R5:R9)</f>
        <v>126</v>
      </c>
      <c r="S10" s="5">
        <f>R10/$AB$10</f>
        <v>0.12389380530973451</v>
      </c>
      <c r="T10" s="202">
        <f>SUM(T5:T9)</f>
        <v>77</v>
      </c>
      <c r="U10" s="5">
        <f>T10/$AB$10</f>
        <v>7.571288102261553E-2</v>
      </c>
      <c r="V10" s="202">
        <f>SUM(V5:V9)</f>
        <v>340</v>
      </c>
      <c r="W10" s="5">
        <f>V10/$AB$10</f>
        <v>0.33431661750245822</v>
      </c>
      <c r="X10" s="202">
        <f>SUM(X5:X9)</f>
        <v>2</v>
      </c>
      <c r="Y10" s="5">
        <f>X10/$AB$10</f>
        <v>1.9665683382497543E-3</v>
      </c>
      <c r="Z10" s="202">
        <f>SUM(Z5:Z9)</f>
        <v>182</v>
      </c>
      <c r="AA10" s="41">
        <f>Z10/$AB$10</f>
        <v>0.17895771878072764</v>
      </c>
      <c r="AB10" s="224">
        <f t="shared" si="0"/>
        <v>1017</v>
      </c>
      <c r="AC10" s="171">
        <f>SUM(AC5:AC9)</f>
        <v>0.99999999999999989</v>
      </c>
    </row>
    <row r="11" spans="1:29" s="325" customFormat="1" x14ac:dyDescent="0.35">
      <c r="A11" s="163"/>
      <c r="B11" s="143"/>
      <c r="C11" s="164"/>
      <c r="D11" s="143"/>
      <c r="E11" s="164"/>
      <c r="F11" s="143"/>
      <c r="G11" s="164"/>
      <c r="H11" s="143"/>
      <c r="I11" s="164"/>
      <c r="J11" s="143"/>
      <c r="K11" s="165"/>
      <c r="L11" s="17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43"/>
      <c r="AC11" s="165"/>
    </row>
    <row r="12" spans="1:29" s="325" customFormat="1" x14ac:dyDescent="0.35">
      <c r="B12" s="97"/>
      <c r="C12" s="97"/>
      <c r="D12" s="97"/>
      <c r="E12" s="97"/>
      <c r="F12" s="97"/>
      <c r="K12" s="359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</row>
    <row r="13" spans="1:29" s="325" customFormat="1" x14ac:dyDescent="0.35">
      <c r="A13" s="9" t="s">
        <v>145</v>
      </c>
      <c r="B13" s="97"/>
      <c r="C13" s="97"/>
      <c r="D13" s="97"/>
      <c r="E13" s="97"/>
      <c r="F13" s="97"/>
      <c r="K13" s="358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</row>
    <row r="14" spans="1:29" s="325" customFormat="1" x14ac:dyDescent="0.35"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</row>
  </sheetData>
  <mergeCells count="15">
    <mergeCell ref="A1:D1"/>
    <mergeCell ref="AB3:AC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27"/>
  <sheetViews>
    <sheetView zoomScaleNormal="100" workbookViewId="0">
      <selection sqref="A1:C1"/>
    </sheetView>
  </sheetViews>
  <sheetFormatPr defaultRowHeight="14.5" x14ac:dyDescent="0.35"/>
  <cols>
    <col min="1" max="1" width="28.54296875" customWidth="1"/>
    <col min="2" max="2" width="11.7265625" bestFit="1" customWidth="1"/>
    <col min="3" max="3" width="11.7265625" customWidth="1"/>
    <col min="5" max="5" width="9.54296875" bestFit="1" customWidth="1"/>
  </cols>
  <sheetData>
    <row r="1" spans="1:19" s="325" customFormat="1" x14ac:dyDescent="0.35">
      <c r="A1" s="403" t="s">
        <v>200</v>
      </c>
      <c r="B1" s="403"/>
      <c r="C1" s="403"/>
    </row>
    <row r="2" spans="1:19" s="325" customFormat="1" x14ac:dyDescent="0.35"/>
    <row r="3" spans="1:19" s="325" customFormat="1" ht="15" thickBot="1" x14ac:dyDescent="0.4">
      <c r="A3" s="34" t="s">
        <v>6</v>
      </c>
      <c r="B3" s="411" t="s">
        <v>31</v>
      </c>
      <c r="C3" s="411"/>
      <c r="D3" s="411" t="s">
        <v>32</v>
      </c>
      <c r="E3" s="411"/>
      <c r="F3" s="411" t="s">
        <v>54</v>
      </c>
      <c r="G3" s="411"/>
      <c r="H3" s="411" t="s">
        <v>154</v>
      </c>
      <c r="I3" s="411"/>
      <c r="J3" s="411" t="s">
        <v>33</v>
      </c>
      <c r="K3" s="411"/>
      <c r="L3" s="411" t="s">
        <v>34</v>
      </c>
      <c r="M3" s="411"/>
      <c r="N3" s="411" t="s">
        <v>35</v>
      </c>
      <c r="O3" s="411"/>
      <c r="P3" s="411" t="s">
        <v>36</v>
      </c>
      <c r="Q3" s="411"/>
      <c r="R3" s="411" t="s">
        <v>2</v>
      </c>
      <c r="S3" s="411"/>
    </row>
    <row r="4" spans="1:19" s="325" customFormat="1" ht="44" thickBot="1" x14ac:dyDescent="0.4">
      <c r="A4" s="37"/>
      <c r="B4" s="121" t="s">
        <v>4</v>
      </c>
      <c r="C4" s="122" t="s">
        <v>5</v>
      </c>
      <c r="D4" s="122" t="s">
        <v>4</v>
      </c>
      <c r="E4" s="122" t="s">
        <v>5</v>
      </c>
      <c r="F4" s="122" t="s">
        <v>4</v>
      </c>
      <c r="G4" s="122" t="s">
        <v>5</v>
      </c>
      <c r="H4" s="122" t="s">
        <v>4</v>
      </c>
      <c r="I4" s="122" t="s">
        <v>5</v>
      </c>
      <c r="J4" s="122" t="s">
        <v>4</v>
      </c>
      <c r="K4" s="122" t="s">
        <v>5</v>
      </c>
      <c r="L4" s="122" t="s">
        <v>4</v>
      </c>
      <c r="M4" s="7" t="s">
        <v>5</v>
      </c>
      <c r="N4" s="7" t="s">
        <v>4</v>
      </c>
      <c r="O4" s="7" t="s">
        <v>5</v>
      </c>
      <c r="P4" s="7" t="s">
        <v>4</v>
      </c>
      <c r="Q4" s="38" t="s">
        <v>5</v>
      </c>
      <c r="R4" s="44" t="s">
        <v>4</v>
      </c>
      <c r="S4" s="8" t="s">
        <v>5</v>
      </c>
    </row>
    <row r="5" spans="1:19" s="325" customFormat="1" x14ac:dyDescent="0.35">
      <c r="A5" s="69" t="s">
        <v>167</v>
      </c>
      <c r="B5" s="183">
        <v>39</v>
      </c>
      <c r="C5" s="129">
        <f>B5/$B$10</f>
        <v>0.25161290322580643</v>
      </c>
      <c r="D5" s="183">
        <v>9</v>
      </c>
      <c r="E5" s="129">
        <f>D5/$D$10</f>
        <v>7.6271186440677971E-2</v>
      </c>
      <c r="F5" s="183">
        <v>22</v>
      </c>
      <c r="G5" s="129">
        <f>F5/$F$10</f>
        <v>0.29333333333333333</v>
      </c>
      <c r="H5" s="183">
        <v>71</v>
      </c>
      <c r="I5" s="129">
        <f>H5/$H$10</f>
        <v>0.2874493927125506</v>
      </c>
      <c r="J5" s="183">
        <v>2</v>
      </c>
      <c r="K5" s="129">
        <f>J5/$J$10</f>
        <v>0.18181818181818182</v>
      </c>
      <c r="L5" s="183">
        <v>24</v>
      </c>
      <c r="M5" s="129">
        <f>L5/$L$10</f>
        <v>0.10256410256410256</v>
      </c>
      <c r="N5" s="183">
        <v>8</v>
      </c>
      <c r="O5" s="129">
        <f>N5/$N$10</f>
        <v>8.3333333333333329E-2</v>
      </c>
      <c r="P5" s="183">
        <v>0</v>
      </c>
      <c r="Q5" s="188">
        <f>P5/$P$10</f>
        <v>0</v>
      </c>
      <c r="R5" s="174">
        <f>B5+D5+F5+H5+J5+L5+N5+P5</f>
        <v>175</v>
      </c>
      <c r="S5" s="207">
        <f>R5/$R$10</f>
        <v>0.17207472959685349</v>
      </c>
    </row>
    <row r="6" spans="1:19" s="325" customFormat="1" x14ac:dyDescent="0.35">
      <c r="A6" s="70" t="s">
        <v>30</v>
      </c>
      <c r="B6" s="175">
        <v>4</v>
      </c>
      <c r="C6" s="130">
        <f>B6/$B$10</f>
        <v>2.5806451612903226E-2</v>
      </c>
      <c r="D6" s="175">
        <v>5</v>
      </c>
      <c r="E6" s="130">
        <f>D6/$D$10</f>
        <v>4.2372881355932202E-2</v>
      </c>
      <c r="F6" s="175">
        <v>1</v>
      </c>
      <c r="G6" s="129">
        <f>F6/$F$10</f>
        <v>1.3333333333333334E-2</v>
      </c>
      <c r="H6" s="175">
        <v>8</v>
      </c>
      <c r="I6" s="129">
        <f>H6/$H$10</f>
        <v>3.2388663967611336E-2</v>
      </c>
      <c r="J6" s="175">
        <v>0</v>
      </c>
      <c r="K6" s="130">
        <f>J6/$J$10</f>
        <v>0</v>
      </c>
      <c r="L6" s="175">
        <v>6</v>
      </c>
      <c r="M6" s="130">
        <f>L6/$L$10</f>
        <v>2.564102564102564E-2</v>
      </c>
      <c r="N6" s="175">
        <v>3</v>
      </c>
      <c r="O6" s="130">
        <f>N6/$N$10</f>
        <v>3.125E-2</v>
      </c>
      <c r="P6" s="175">
        <v>6</v>
      </c>
      <c r="Q6" s="189">
        <f>P6/$P$10</f>
        <v>7.407407407407407E-2</v>
      </c>
      <c r="R6" s="174">
        <f t="shared" ref="R6:R9" si="0">B6+D6+F6+H6+J6+L6+N6+P6</f>
        <v>33</v>
      </c>
      <c r="S6" s="66">
        <f>R6/$R$10</f>
        <v>3.2448377581120944E-2</v>
      </c>
    </row>
    <row r="7" spans="1:19" s="325" customFormat="1" x14ac:dyDescent="0.35">
      <c r="A7" s="70" t="s">
        <v>24</v>
      </c>
      <c r="B7" s="253">
        <v>110</v>
      </c>
      <c r="C7" s="130">
        <f>B7/$B$10</f>
        <v>0.70967741935483875</v>
      </c>
      <c r="D7" s="175">
        <v>102</v>
      </c>
      <c r="E7" s="130">
        <f>D7/$D$10</f>
        <v>0.86440677966101698</v>
      </c>
      <c r="F7" s="175">
        <v>46</v>
      </c>
      <c r="G7" s="130">
        <f>F7/$F$10</f>
        <v>0.61333333333333329</v>
      </c>
      <c r="H7" s="175">
        <v>157</v>
      </c>
      <c r="I7" s="130">
        <f>H7/$H$10</f>
        <v>0.63562753036437247</v>
      </c>
      <c r="J7" s="175">
        <v>9</v>
      </c>
      <c r="K7" s="130">
        <f>J7/$J$10</f>
        <v>0.81818181818181823</v>
      </c>
      <c r="L7" s="175">
        <v>195</v>
      </c>
      <c r="M7" s="130">
        <f>L7/$L$10</f>
        <v>0.83333333333333337</v>
      </c>
      <c r="N7" s="175">
        <v>83</v>
      </c>
      <c r="O7" s="130">
        <f>N7/$N$10</f>
        <v>0.86458333333333337</v>
      </c>
      <c r="P7" s="175">
        <v>72</v>
      </c>
      <c r="Q7" s="189">
        <f>P7/$P$10</f>
        <v>0.88888888888888884</v>
      </c>
      <c r="R7" s="253">
        <f t="shared" si="0"/>
        <v>774</v>
      </c>
      <c r="S7" s="66">
        <f>R7/$R$10</f>
        <v>0.76106194690265483</v>
      </c>
    </row>
    <row r="8" spans="1:19" s="369" customFormat="1" x14ac:dyDescent="0.35">
      <c r="A8" s="70" t="s">
        <v>18</v>
      </c>
      <c r="B8" s="253">
        <v>2</v>
      </c>
      <c r="C8" s="130">
        <f t="shared" ref="C8:C9" si="1">B8/$B$10</f>
        <v>1.2903225806451613E-2</v>
      </c>
      <c r="D8" s="175">
        <v>2</v>
      </c>
      <c r="E8" s="130">
        <f t="shared" ref="E8:E9" si="2">D8/$D$10</f>
        <v>1.6949152542372881E-2</v>
      </c>
      <c r="F8" s="175">
        <v>4</v>
      </c>
      <c r="G8" s="130">
        <f t="shared" ref="G8:G9" si="3">F8/$F$10</f>
        <v>5.3333333333333337E-2</v>
      </c>
      <c r="H8" s="175">
        <v>1</v>
      </c>
      <c r="I8" s="130">
        <f t="shared" ref="I8:I9" si="4">H8/$H$10</f>
        <v>4.048582995951417E-3</v>
      </c>
      <c r="J8" s="175">
        <v>0</v>
      </c>
      <c r="K8" s="130">
        <f t="shared" ref="K8:K9" si="5">J8/$J$10</f>
        <v>0</v>
      </c>
      <c r="L8" s="175">
        <v>4</v>
      </c>
      <c r="M8" s="130">
        <f t="shared" ref="M8:M9" si="6">L8/$L$10</f>
        <v>1.7094017094017096E-2</v>
      </c>
      <c r="N8" s="175">
        <v>0</v>
      </c>
      <c r="O8" s="130">
        <f t="shared" ref="O8:O9" si="7">N8/$N$10</f>
        <v>0</v>
      </c>
      <c r="P8" s="175">
        <v>3</v>
      </c>
      <c r="Q8" s="189">
        <f t="shared" ref="Q8:Q9" si="8">P8/$P$10</f>
        <v>3.7037037037037035E-2</v>
      </c>
      <c r="R8" s="253">
        <f t="shared" si="0"/>
        <v>16</v>
      </c>
      <c r="S8" s="66">
        <f t="shared" ref="S8:S9" si="9">R8/$R$10</f>
        <v>1.5732546705998034E-2</v>
      </c>
    </row>
    <row r="9" spans="1:19" s="369" customFormat="1" ht="15" thickBot="1" x14ac:dyDescent="0.4">
      <c r="A9" s="13" t="s">
        <v>25</v>
      </c>
      <c r="B9" s="371">
        <v>0</v>
      </c>
      <c r="C9" s="130">
        <f t="shared" si="1"/>
        <v>0</v>
      </c>
      <c r="D9" s="371">
        <v>0</v>
      </c>
      <c r="E9" s="130">
        <f t="shared" si="2"/>
        <v>0</v>
      </c>
      <c r="F9" s="371">
        <v>2</v>
      </c>
      <c r="G9" s="130">
        <f t="shared" si="3"/>
        <v>2.6666666666666668E-2</v>
      </c>
      <c r="H9" s="371">
        <v>10</v>
      </c>
      <c r="I9" s="130">
        <f t="shared" si="4"/>
        <v>4.048582995951417E-2</v>
      </c>
      <c r="J9" s="371">
        <v>0</v>
      </c>
      <c r="K9" s="130">
        <f t="shared" si="5"/>
        <v>0</v>
      </c>
      <c r="L9" s="371">
        <v>5</v>
      </c>
      <c r="M9" s="130">
        <f t="shared" si="6"/>
        <v>2.1367521367521368E-2</v>
      </c>
      <c r="N9" s="371">
        <v>2</v>
      </c>
      <c r="O9" s="130">
        <f t="shared" si="7"/>
        <v>2.0833333333333332E-2</v>
      </c>
      <c r="P9" s="371">
        <v>0</v>
      </c>
      <c r="Q9" s="189">
        <f t="shared" si="8"/>
        <v>0</v>
      </c>
      <c r="R9" s="253">
        <f t="shared" si="0"/>
        <v>19</v>
      </c>
      <c r="S9" s="66">
        <f t="shared" si="9"/>
        <v>1.8682399213372666E-2</v>
      </c>
    </row>
    <row r="10" spans="1:19" s="325" customFormat="1" ht="15" thickBot="1" x14ac:dyDescent="0.4">
      <c r="A10" s="19" t="s">
        <v>2</v>
      </c>
      <c r="B10" s="125">
        <f>SUM(B5:B9)</f>
        <v>155</v>
      </c>
      <c r="C10" s="126">
        <f>SUM(C5:C7)</f>
        <v>0.98709677419354835</v>
      </c>
      <c r="D10" s="125">
        <f>SUM(D5:D9)</f>
        <v>118</v>
      </c>
      <c r="E10" s="166">
        <f>SUM(E5:E7)</f>
        <v>0.98305084745762716</v>
      </c>
      <c r="F10" s="125">
        <f>SUM(F5:F9)</f>
        <v>75</v>
      </c>
      <c r="G10" s="166">
        <f>SUM(G5:G7)</f>
        <v>0.91999999999999993</v>
      </c>
      <c r="H10" s="125">
        <f>SUM(H5:H9)</f>
        <v>247</v>
      </c>
      <c r="I10" s="166">
        <f>SUM(I5:I7)</f>
        <v>0.95546558704453444</v>
      </c>
      <c r="J10" s="125">
        <f>SUM(J5:J9)</f>
        <v>11</v>
      </c>
      <c r="K10" s="166">
        <f>SUM(K5:K7)</f>
        <v>1</v>
      </c>
      <c r="L10" s="125">
        <f>SUM(L5:L9)</f>
        <v>234</v>
      </c>
      <c r="M10" s="166">
        <f>SUM(M5:M7)</f>
        <v>0.96153846153846156</v>
      </c>
      <c r="N10" s="125">
        <f>SUM(N5:N9)</f>
        <v>96</v>
      </c>
      <c r="O10" s="166">
        <f>SUM(O5:O7)</f>
        <v>0.97916666666666674</v>
      </c>
      <c r="P10" s="125">
        <f>SUM(P5:P9)</f>
        <v>81</v>
      </c>
      <c r="Q10" s="166">
        <f>SUM(Q5:Q7)</f>
        <v>0.96296296296296291</v>
      </c>
      <c r="R10" s="185">
        <f>SUM(R5:R9)</f>
        <v>1017</v>
      </c>
      <c r="S10" s="6">
        <f>SUM(S5:S9)</f>
        <v>0.99999999999999989</v>
      </c>
    </row>
    <row r="11" spans="1:19" s="97" customFormat="1" ht="15" thickBot="1" x14ac:dyDescent="0.4">
      <c r="A11" s="206" t="s">
        <v>104</v>
      </c>
      <c r="R11" s="174"/>
    </row>
    <row r="12" spans="1:19" s="97" customFormat="1" ht="15" thickBot="1" x14ac:dyDescent="0.4">
      <c r="A12" s="205" t="s">
        <v>190</v>
      </c>
      <c r="B12" s="409">
        <v>0.27810000000000001</v>
      </c>
      <c r="C12" s="410"/>
      <c r="D12" s="409">
        <v>5.45E-2</v>
      </c>
      <c r="E12" s="410"/>
      <c r="F12" s="409">
        <v>0.27160000000000001</v>
      </c>
      <c r="G12" s="410"/>
      <c r="H12" s="409">
        <v>0.25929999999999997</v>
      </c>
      <c r="I12" s="410"/>
      <c r="J12" s="409">
        <v>0.1333</v>
      </c>
      <c r="K12" s="410"/>
      <c r="L12" s="409">
        <v>8.4699999999999998E-2</v>
      </c>
      <c r="M12" s="410"/>
      <c r="N12" s="409">
        <v>7.0699999999999999E-2</v>
      </c>
      <c r="O12" s="410"/>
      <c r="P12" s="409">
        <v>0</v>
      </c>
      <c r="Q12" s="410"/>
      <c r="R12" s="409">
        <v>0.15989999999999999</v>
      </c>
      <c r="S12" s="410"/>
    </row>
    <row r="13" spans="1:19" s="97" customFormat="1" x14ac:dyDescent="0.35">
      <c r="A13" s="325"/>
    </row>
    <row r="14" spans="1:19" s="325" customFormat="1" x14ac:dyDescent="0.35">
      <c r="A14" s="9" t="s">
        <v>145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9" x14ac:dyDescent="0.35">
      <c r="A15" s="9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spans="1:19" x14ac:dyDescent="0.35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2:12" x14ac:dyDescent="0.35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2:12" x14ac:dyDescent="0.35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</row>
    <row r="19" spans="2:12" x14ac:dyDescent="0.35"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2:12" x14ac:dyDescent="0.35"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2:12" x14ac:dyDescent="0.35"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</row>
    <row r="22" spans="2:12" x14ac:dyDescent="0.35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2:12" x14ac:dyDescent="0.35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2:12" x14ac:dyDescent="0.35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2:12" x14ac:dyDescent="0.35"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2:12" x14ac:dyDescent="0.35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2:12" x14ac:dyDescent="0.35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</row>
  </sheetData>
  <mergeCells count="19">
    <mergeCell ref="R3:S3"/>
    <mergeCell ref="P3:Q3"/>
    <mergeCell ref="N3:O3"/>
    <mergeCell ref="R12:S12"/>
    <mergeCell ref="P12:Q12"/>
    <mergeCell ref="N12:O12"/>
    <mergeCell ref="L12:M12"/>
    <mergeCell ref="J12:K12"/>
    <mergeCell ref="L3:M3"/>
    <mergeCell ref="H3:I3"/>
    <mergeCell ref="F3:G3"/>
    <mergeCell ref="J3:K3"/>
    <mergeCell ref="A1:C1"/>
    <mergeCell ref="D12:E12"/>
    <mergeCell ref="B12:C12"/>
    <mergeCell ref="H12:I12"/>
    <mergeCell ref="F12:G12"/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22"/>
  <sheetViews>
    <sheetView workbookViewId="0">
      <selection sqref="A1:D1"/>
    </sheetView>
  </sheetViews>
  <sheetFormatPr defaultRowHeight="14.5" x14ac:dyDescent="0.35"/>
  <cols>
    <col min="1" max="1" width="18.54296875" customWidth="1"/>
    <col min="18" max="19" width="9.1796875" style="258"/>
  </cols>
  <sheetData>
    <row r="1" spans="1:21" s="325" customFormat="1" x14ac:dyDescent="0.35">
      <c r="A1" s="403" t="s">
        <v>201</v>
      </c>
      <c r="B1" s="403"/>
      <c r="C1" s="403"/>
      <c r="D1" s="403"/>
    </row>
    <row r="2" spans="1:21" s="325" customFormat="1" ht="15" thickBot="1" x14ac:dyDescent="0.4"/>
    <row r="3" spans="1:21" s="325" customFormat="1" ht="15" thickBot="1" x14ac:dyDescent="0.4">
      <c r="A3" s="47" t="s">
        <v>0</v>
      </c>
      <c r="B3" s="414" t="s">
        <v>172</v>
      </c>
      <c r="C3" s="415"/>
      <c r="D3" s="414" t="s">
        <v>26</v>
      </c>
      <c r="E3" s="415"/>
      <c r="F3" s="414" t="s">
        <v>27</v>
      </c>
      <c r="G3" s="415"/>
      <c r="H3" s="414" t="s">
        <v>40</v>
      </c>
      <c r="I3" s="415"/>
      <c r="J3" s="416" t="s">
        <v>91</v>
      </c>
      <c r="K3" s="417"/>
      <c r="L3" s="412" t="s">
        <v>29</v>
      </c>
      <c r="M3" s="413"/>
      <c r="N3" s="418" t="s">
        <v>150</v>
      </c>
      <c r="O3" s="419"/>
      <c r="P3" s="420" t="s">
        <v>49</v>
      </c>
      <c r="Q3" s="421"/>
      <c r="R3" s="414" t="s">
        <v>44</v>
      </c>
      <c r="S3" s="415"/>
    </row>
    <row r="4" spans="1:21" s="325" customFormat="1" ht="29.5" thickBot="1" x14ac:dyDescent="0.4">
      <c r="A4" s="33" t="s">
        <v>1</v>
      </c>
      <c r="B4" s="60" t="s">
        <v>4</v>
      </c>
      <c r="C4" s="61" t="s">
        <v>39</v>
      </c>
      <c r="D4" s="61" t="s">
        <v>4</v>
      </c>
      <c r="E4" s="61" t="s">
        <v>39</v>
      </c>
      <c r="F4" s="61" t="s">
        <v>4</v>
      </c>
      <c r="G4" s="61" t="s">
        <v>39</v>
      </c>
      <c r="H4" s="61" t="s">
        <v>4</v>
      </c>
      <c r="I4" s="61" t="s">
        <v>39</v>
      </c>
      <c r="J4" s="61" t="s">
        <v>4</v>
      </c>
      <c r="K4" s="62" t="s">
        <v>39</v>
      </c>
      <c r="L4" s="63" t="s">
        <v>4</v>
      </c>
      <c r="M4" s="64" t="s">
        <v>39</v>
      </c>
      <c r="N4" s="61" t="s">
        <v>4</v>
      </c>
      <c r="O4" s="62" t="s">
        <v>39</v>
      </c>
      <c r="P4" s="99" t="s">
        <v>4</v>
      </c>
      <c r="Q4" s="300" t="s">
        <v>39</v>
      </c>
      <c r="R4" s="63" t="s">
        <v>4</v>
      </c>
      <c r="S4" s="64" t="s">
        <v>39</v>
      </c>
    </row>
    <row r="5" spans="1:21" s="325" customFormat="1" x14ac:dyDescent="0.35">
      <c r="A5" s="55" t="s">
        <v>37</v>
      </c>
      <c r="B5" s="196">
        <v>5</v>
      </c>
      <c r="C5" s="128">
        <f>B5/$B$7</f>
        <v>0.625</v>
      </c>
      <c r="D5" s="197">
        <v>81</v>
      </c>
      <c r="E5" s="128">
        <f>D5/$D$7</f>
        <v>0.78640776699029125</v>
      </c>
      <c r="F5" s="197">
        <v>338</v>
      </c>
      <c r="G5" s="128">
        <f>F5/$F$7</f>
        <v>0.63295880149812733</v>
      </c>
      <c r="H5" s="197">
        <v>159</v>
      </c>
      <c r="I5" s="128">
        <f>H5/$H$7</f>
        <v>0.59328358208955223</v>
      </c>
      <c r="J5" s="197">
        <v>39</v>
      </c>
      <c r="K5" s="128">
        <f>J5/$J$7</f>
        <v>0.46987951807228917</v>
      </c>
      <c r="L5" s="198">
        <f>B5+D5+F5+H5+J5</f>
        <v>622</v>
      </c>
      <c r="M5" s="301">
        <f>L5/$L$7</f>
        <v>0.62449799196787148</v>
      </c>
      <c r="N5" s="197">
        <v>11</v>
      </c>
      <c r="O5" s="260">
        <f>N5/$N$7</f>
        <v>0.52380952380952384</v>
      </c>
      <c r="P5" s="302">
        <v>0</v>
      </c>
      <c r="Q5" s="301">
        <v>1</v>
      </c>
      <c r="R5" s="302">
        <f>L5+N5+P5</f>
        <v>633</v>
      </c>
      <c r="S5" s="59">
        <f>R5/$R$7</f>
        <v>0.6224188790560472</v>
      </c>
    </row>
    <row r="6" spans="1:21" s="325" customFormat="1" ht="15" thickBot="1" x14ac:dyDescent="0.4">
      <c r="A6" s="49" t="s">
        <v>38</v>
      </c>
      <c r="B6" s="196">
        <v>3</v>
      </c>
      <c r="C6" s="128">
        <f>B6/$B$7</f>
        <v>0.375</v>
      </c>
      <c r="D6" s="197">
        <v>22</v>
      </c>
      <c r="E6" s="128">
        <f>D6/$D$7</f>
        <v>0.21359223300970873</v>
      </c>
      <c r="F6" s="197">
        <v>196</v>
      </c>
      <c r="G6" s="128">
        <f t="shared" ref="G6" si="0">F6/$F$7</f>
        <v>0.36704119850187267</v>
      </c>
      <c r="H6" s="197">
        <v>109</v>
      </c>
      <c r="I6" s="128">
        <f t="shared" ref="I6" si="1">H6/$H$7</f>
        <v>0.40671641791044777</v>
      </c>
      <c r="J6" s="197">
        <v>44</v>
      </c>
      <c r="K6" s="128">
        <f t="shared" ref="K6" si="2">J6/$J$7</f>
        <v>0.53012048192771088</v>
      </c>
      <c r="L6" s="198">
        <f>B6+D6+F6+H6+J6</f>
        <v>374</v>
      </c>
      <c r="M6" s="301">
        <f t="shared" ref="M6" si="3">L6/$L$7</f>
        <v>0.37550200803212852</v>
      </c>
      <c r="N6" s="303">
        <v>10</v>
      </c>
      <c r="O6" s="304">
        <f t="shared" ref="O6" si="4">N6/$N$7</f>
        <v>0.47619047619047616</v>
      </c>
      <c r="P6" s="305">
        <v>0</v>
      </c>
      <c r="Q6" s="306">
        <v>0</v>
      </c>
      <c r="R6" s="305">
        <f>L6+N6+P6</f>
        <v>384</v>
      </c>
      <c r="S6" s="54">
        <f t="shared" ref="S6" si="5">R6/$R$7</f>
        <v>0.3775811209439528</v>
      </c>
    </row>
    <row r="7" spans="1:21" s="26" customFormat="1" ht="15" thickBot="1" x14ac:dyDescent="0.4">
      <c r="A7" s="50" t="s">
        <v>2</v>
      </c>
      <c r="B7" s="190">
        <f>SUM(B5:B6)</f>
        <v>8</v>
      </c>
      <c r="C7" s="6">
        <f t="shared" ref="C7:O7" si="6">SUM(C5:C6)</f>
        <v>1</v>
      </c>
      <c r="D7" s="125">
        <f t="shared" si="6"/>
        <v>103</v>
      </c>
      <c r="E7" s="6">
        <f t="shared" si="6"/>
        <v>1</v>
      </c>
      <c r="F7" s="190">
        <f t="shared" si="6"/>
        <v>534</v>
      </c>
      <c r="G7" s="6">
        <f t="shared" si="6"/>
        <v>1</v>
      </c>
      <c r="H7" s="190">
        <f t="shared" si="6"/>
        <v>268</v>
      </c>
      <c r="I7" s="6">
        <f t="shared" si="6"/>
        <v>1</v>
      </c>
      <c r="J7" s="125">
        <f t="shared" si="6"/>
        <v>83</v>
      </c>
      <c r="K7" s="6">
        <f t="shared" si="6"/>
        <v>1</v>
      </c>
      <c r="L7" s="307">
        <f>SUM(L5:L6)</f>
        <v>996</v>
      </c>
      <c r="M7" s="6">
        <f t="shared" si="6"/>
        <v>1</v>
      </c>
      <c r="N7" s="4">
        <f t="shared" si="6"/>
        <v>21</v>
      </c>
      <c r="O7" s="41">
        <f t="shared" si="6"/>
        <v>1</v>
      </c>
      <c r="P7" s="308">
        <f>SUM(P5:P6)</f>
        <v>0</v>
      </c>
      <c r="Q7" s="309">
        <f>SUM(Q5:Q6)</f>
        <v>1</v>
      </c>
      <c r="R7" s="310">
        <f>L7+N7+P7</f>
        <v>1017</v>
      </c>
      <c r="S7" s="6">
        <f>SUM(S5:S6)</f>
        <v>1</v>
      </c>
    </row>
    <row r="8" spans="1:21" s="325" customFormat="1" ht="15" thickBot="1" x14ac:dyDescent="0.4">
      <c r="A8" s="12"/>
      <c r="B8" s="97"/>
      <c r="C8" s="97"/>
      <c r="D8" s="97"/>
      <c r="E8" s="97"/>
      <c r="F8" s="97"/>
      <c r="G8" s="97"/>
      <c r="H8" s="97"/>
      <c r="I8" s="97"/>
      <c r="J8" s="97"/>
    </row>
    <row r="9" spans="1:21" s="325" customFormat="1" ht="15" thickBot="1" x14ac:dyDescent="0.4">
      <c r="A9" s="261" t="s">
        <v>45</v>
      </c>
      <c r="B9" s="422">
        <v>0.8</v>
      </c>
      <c r="C9" s="422"/>
      <c r="D9" s="422">
        <v>0.76190000000000002</v>
      </c>
      <c r="E9" s="422"/>
      <c r="F9" s="422">
        <v>0.62450000000000006</v>
      </c>
      <c r="G9" s="422"/>
      <c r="H9" s="422">
        <v>0.60940000000000005</v>
      </c>
      <c r="I9" s="422"/>
      <c r="J9" s="422">
        <v>0.49430000000000002</v>
      </c>
      <c r="K9" s="422"/>
      <c r="L9" s="422">
        <v>0.62549999999999994</v>
      </c>
      <c r="M9" s="422"/>
      <c r="N9" s="422">
        <v>0.52939999999999998</v>
      </c>
      <c r="O9" s="422"/>
      <c r="P9" s="409" t="s">
        <v>157</v>
      </c>
      <c r="Q9" s="410"/>
      <c r="R9" s="423">
        <v>0.62390000000000001</v>
      </c>
      <c r="S9" s="423"/>
    </row>
    <row r="10" spans="1:21" s="325" customFormat="1" ht="15" thickBot="1" x14ac:dyDescent="0.4">
      <c r="A10" s="205" t="s">
        <v>165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21" s="325" customFormat="1" x14ac:dyDescent="0.35">
      <c r="B11" s="97"/>
      <c r="C11" s="97"/>
      <c r="D11" s="97"/>
      <c r="E11" s="97"/>
      <c r="F11" s="97"/>
      <c r="G11" s="97"/>
      <c r="H11" s="97"/>
      <c r="I11" s="97"/>
    </row>
    <row r="12" spans="1:21" s="325" customFormat="1" x14ac:dyDescent="0.35">
      <c r="A12" s="9" t="s">
        <v>145</v>
      </c>
      <c r="B12" s="97"/>
      <c r="C12" s="97"/>
      <c r="D12" s="97"/>
      <c r="E12" s="97"/>
      <c r="F12" s="97"/>
      <c r="G12" s="97"/>
      <c r="H12" s="97"/>
      <c r="I12" s="97"/>
    </row>
    <row r="13" spans="1:21" x14ac:dyDescent="0.35">
      <c r="A13" s="9" t="s">
        <v>153</v>
      </c>
      <c r="B13" s="97"/>
      <c r="C13" s="97"/>
      <c r="D13" s="97"/>
      <c r="E13" s="97"/>
      <c r="F13" s="97"/>
      <c r="G13" s="97"/>
      <c r="H13" s="97"/>
      <c r="I13" s="97"/>
      <c r="J13" s="97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</row>
    <row r="14" spans="1:21" x14ac:dyDescent="0.35">
      <c r="B14" s="97"/>
      <c r="C14" s="97"/>
      <c r="D14" s="97"/>
      <c r="E14" s="97"/>
      <c r="F14" s="97"/>
      <c r="G14" s="97"/>
      <c r="H14" s="97"/>
      <c r="I14" s="97"/>
      <c r="J14" s="97"/>
    </row>
    <row r="15" spans="1:21" x14ac:dyDescent="0.35">
      <c r="B15" s="97"/>
      <c r="C15" s="97"/>
      <c r="D15" s="97"/>
      <c r="E15" s="97"/>
      <c r="F15" s="97"/>
      <c r="G15" s="97"/>
      <c r="H15" s="97"/>
      <c r="I15" s="97"/>
      <c r="J15" s="97"/>
    </row>
    <row r="16" spans="1:21" x14ac:dyDescent="0.35">
      <c r="B16" s="97"/>
      <c r="C16" s="97"/>
      <c r="D16" s="97"/>
      <c r="E16" s="97"/>
      <c r="F16" s="97"/>
      <c r="G16" s="97"/>
      <c r="H16" s="97"/>
      <c r="I16" s="97"/>
      <c r="J16" s="97"/>
    </row>
    <row r="17" spans="2:10" x14ac:dyDescent="0.35">
      <c r="B17" s="97"/>
      <c r="C17" s="97"/>
      <c r="D17" s="97"/>
      <c r="E17" s="97"/>
      <c r="F17" s="97"/>
      <c r="G17" s="97"/>
      <c r="H17" s="97"/>
      <c r="I17" s="97"/>
      <c r="J17" s="97"/>
    </row>
    <row r="18" spans="2:10" x14ac:dyDescent="0.35">
      <c r="B18" s="97"/>
      <c r="C18" s="97"/>
      <c r="D18" s="97"/>
      <c r="E18" s="97"/>
      <c r="F18" s="97"/>
      <c r="G18" s="97"/>
      <c r="H18" s="97"/>
      <c r="I18" s="97"/>
      <c r="J18" s="97"/>
    </row>
    <row r="19" spans="2:10" x14ac:dyDescent="0.35">
      <c r="B19" s="97"/>
      <c r="C19" s="97"/>
      <c r="D19" s="97"/>
      <c r="E19" s="97"/>
      <c r="F19" s="97"/>
      <c r="G19" s="97"/>
      <c r="H19" s="97"/>
      <c r="I19" s="97"/>
      <c r="J19" s="97"/>
    </row>
    <row r="20" spans="2:10" x14ac:dyDescent="0.35">
      <c r="B20" s="97"/>
      <c r="C20" s="97"/>
      <c r="D20" s="97"/>
      <c r="E20" s="97"/>
      <c r="F20" s="97"/>
      <c r="G20" s="97"/>
      <c r="H20" s="97"/>
      <c r="I20" s="97"/>
      <c r="J20" s="97"/>
    </row>
    <row r="21" spans="2:10" x14ac:dyDescent="0.35">
      <c r="B21" s="97"/>
      <c r="C21" s="97"/>
      <c r="D21" s="97"/>
      <c r="E21" s="97"/>
      <c r="F21" s="97"/>
      <c r="G21" s="97"/>
      <c r="H21" s="97"/>
      <c r="I21" s="97"/>
      <c r="J21" s="97"/>
    </row>
    <row r="22" spans="2:10" x14ac:dyDescent="0.35">
      <c r="B22" s="97"/>
      <c r="C22" s="97"/>
      <c r="D22" s="97"/>
      <c r="E22" s="97"/>
      <c r="F22" s="97"/>
      <c r="G22" s="97"/>
      <c r="H22" s="97"/>
      <c r="I22" s="97"/>
      <c r="J22" s="97"/>
    </row>
  </sheetData>
  <mergeCells count="19">
    <mergeCell ref="N3:O3"/>
    <mergeCell ref="P3:Q3"/>
    <mergeCell ref="R3:S3"/>
    <mergeCell ref="B9:C9"/>
    <mergeCell ref="P9:Q9"/>
    <mergeCell ref="N9:O9"/>
    <mergeCell ref="L9:M9"/>
    <mergeCell ref="J9:K9"/>
    <mergeCell ref="H9:I9"/>
    <mergeCell ref="F9:G9"/>
    <mergeCell ref="D9:E9"/>
    <mergeCell ref="R9:S9"/>
    <mergeCell ref="A1:D1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C23"/>
  <sheetViews>
    <sheetView workbookViewId="0">
      <selection sqref="A1:D1"/>
    </sheetView>
  </sheetViews>
  <sheetFormatPr defaultRowHeight="14.5" x14ac:dyDescent="0.35"/>
  <cols>
    <col min="1" max="1" width="18.1796875" customWidth="1"/>
    <col min="2" max="2" width="11.1796875" customWidth="1"/>
    <col min="3" max="3" width="9.26953125" customWidth="1"/>
    <col min="4" max="4" width="11.26953125" customWidth="1"/>
    <col min="5" max="5" width="9.81640625" customWidth="1"/>
    <col min="6" max="6" width="12" customWidth="1"/>
    <col min="7" max="7" width="8.54296875" customWidth="1"/>
    <col min="14" max="27" width="9.1796875" style="384"/>
    <col min="28" max="28" width="9.453125" customWidth="1"/>
    <col min="29" max="29" width="9.81640625" customWidth="1"/>
  </cols>
  <sheetData>
    <row r="1" spans="1:29" s="325" customFormat="1" x14ac:dyDescent="0.35">
      <c r="A1" s="403" t="s">
        <v>202</v>
      </c>
      <c r="B1" s="403"/>
      <c r="C1" s="403"/>
      <c r="D1" s="403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</row>
    <row r="2" spans="1:29" s="325" customFormat="1" ht="15" thickBot="1" x14ac:dyDescent="0.4"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</row>
    <row r="3" spans="1:29" s="1" customFormat="1" ht="30" customHeight="1" thickBot="1" x14ac:dyDescent="0.4">
      <c r="A3" s="77" t="s">
        <v>0</v>
      </c>
      <c r="B3" s="406" t="s">
        <v>151</v>
      </c>
      <c r="C3" s="407"/>
      <c r="D3" s="407" t="s">
        <v>173</v>
      </c>
      <c r="E3" s="407"/>
      <c r="F3" s="427" t="s">
        <v>174</v>
      </c>
      <c r="G3" s="428"/>
      <c r="H3" s="427" t="s">
        <v>175</v>
      </c>
      <c r="I3" s="428"/>
      <c r="J3" s="427" t="s">
        <v>66</v>
      </c>
      <c r="K3" s="428"/>
      <c r="L3" s="427" t="s">
        <v>176</v>
      </c>
      <c r="M3" s="429"/>
      <c r="N3" s="426" t="s">
        <v>177</v>
      </c>
      <c r="O3" s="424"/>
      <c r="P3" s="424" t="s">
        <v>50</v>
      </c>
      <c r="Q3" s="424"/>
      <c r="R3" s="424" t="s">
        <v>178</v>
      </c>
      <c r="S3" s="424"/>
      <c r="T3" s="424" t="s">
        <v>146</v>
      </c>
      <c r="U3" s="424"/>
      <c r="V3" s="424" t="s">
        <v>179</v>
      </c>
      <c r="W3" s="424"/>
      <c r="X3" s="424" t="s">
        <v>180</v>
      </c>
      <c r="Y3" s="424"/>
      <c r="Z3" s="424" t="s">
        <v>181</v>
      </c>
      <c r="AA3" s="425"/>
      <c r="AB3" s="75" t="s">
        <v>2</v>
      </c>
      <c r="AC3" s="76" t="s">
        <v>3</v>
      </c>
    </row>
    <row r="4" spans="1:29" s="1" customFormat="1" ht="29.5" thickBot="1" x14ac:dyDescent="0.4">
      <c r="A4" s="23" t="s">
        <v>1</v>
      </c>
      <c r="B4" s="121" t="s">
        <v>4</v>
      </c>
      <c r="C4" s="122" t="s">
        <v>39</v>
      </c>
      <c r="D4" s="122" t="s">
        <v>4</v>
      </c>
      <c r="E4" s="122" t="s">
        <v>39</v>
      </c>
      <c r="F4" s="122" t="s">
        <v>4</v>
      </c>
      <c r="G4" s="122" t="s">
        <v>39</v>
      </c>
      <c r="H4" s="122" t="s">
        <v>4</v>
      </c>
      <c r="I4" s="122" t="s">
        <v>39</v>
      </c>
      <c r="J4" s="122" t="s">
        <v>4</v>
      </c>
      <c r="K4" s="122" t="s">
        <v>39</v>
      </c>
      <c r="L4" s="122" t="s">
        <v>4</v>
      </c>
      <c r="M4" s="122" t="s">
        <v>39</v>
      </c>
      <c r="N4" s="122" t="s">
        <v>4</v>
      </c>
      <c r="O4" s="122" t="s">
        <v>39</v>
      </c>
      <c r="P4" s="122" t="s">
        <v>4</v>
      </c>
      <c r="Q4" s="122" t="s">
        <v>39</v>
      </c>
      <c r="R4" s="122" t="s">
        <v>4</v>
      </c>
      <c r="S4" s="122" t="s">
        <v>39</v>
      </c>
      <c r="T4" s="122" t="s">
        <v>4</v>
      </c>
      <c r="U4" s="122" t="s">
        <v>39</v>
      </c>
      <c r="V4" s="122" t="s">
        <v>4</v>
      </c>
      <c r="W4" s="122" t="s">
        <v>39</v>
      </c>
      <c r="X4" s="122" t="s">
        <v>4</v>
      </c>
      <c r="Y4" s="122" t="s">
        <v>39</v>
      </c>
      <c r="Z4" s="122" t="s">
        <v>4</v>
      </c>
      <c r="AA4" s="122" t="s">
        <v>39</v>
      </c>
      <c r="AB4" s="44" t="s">
        <v>4</v>
      </c>
      <c r="AC4" s="8" t="s">
        <v>39</v>
      </c>
    </row>
    <row r="5" spans="1:29" s="325" customFormat="1" ht="15" thickBot="1" x14ac:dyDescent="0.4">
      <c r="A5" s="24" t="s">
        <v>37</v>
      </c>
      <c r="B5" s="180">
        <v>14</v>
      </c>
      <c r="C5" s="123">
        <f>B5/$B$7</f>
        <v>0.73684210526315785</v>
      </c>
      <c r="D5" s="180">
        <v>36</v>
      </c>
      <c r="E5" s="123">
        <f>D5/$D$7</f>
        <v>0.45</v>
      </c>
      <c r="F5" s="180">
        <v>13</v>
      </c>
      <c r="G5" s="123">
        <f>F5/$F$7</f>
        <v>0.52</v>
      </c>
      <c r="H5" s="180">
        <v>6</v>
      </c>
      <c r="I5" s="123">
        <f>H5/$H$7</f>
        <v>0.5</v>
      </c>
      <c r="J5" s="180">
        <v>23</v>
      </c>
      <c r="K5" s="123">
        <f>J5/$J$7</f>
        <v>0.39655172413793105</v>
      </c>
      <c r="L5" s="180">
        <v>24</v>
      </c>
      <c r="M5" s="123">
        <f>L5/$L$7</f>
        <v>0.43636363636363634</v>
      </c>
      <c r="N5" s="180">
        <v>0</v>
      </c>
      <c r="O5" s="123">
        <f>N5/$L$7</f>
        <v>0</v>
      </c>
      <c r="P5" s="180">
        <v>31</v>
      </c>
      <c r="Q5" s="123">
        <f>P5/$L$7</f>
        <v>0.5636363636363636</v>
      </c>
      <c r="R5" s="180">
        <v>91</v>
      </c>
      <c r="S5" s="123">
        <f>R5/$L$7</f>
        <v>1.6545454545454545</v>
      </c>
      <c r="T5" s="180">
        <v>56</v>
      </c>
      <c r="U5" s="123">
        <f>T5/$L$7</f>
        <v>1.0181818181818181</v>
      </c>
      <c r="V5" s="180">
        <v>216</v>
      </c>
      <c r="W5" s="123">
        <f>V5/$L$7</f>
        <v>3.9272727272727272</v>
      </c>
      <c r="X5" s="180">
        <v>1</v>
      </c>
      <c r="Y5" s="123">
        <f>X5/$L$7</f>
        <v>1.8181818181818181E-2</v>
      </c>
      <c r="Z5" s="180">
        <v>122</v>
      </c>
      <c r="AA5" s="123">
        <f>Z5/$L$7</f>
        <v>2.2181818181818183</v>
      </c>
      <c r="AB5" s="387">
        <f>B5+D5+F5+H5+J5+L5+N5+P5+R5+T5+V5+X5+Z5</f>
        <v>633</v>
      </c>
      <c r="AC5" s="388">
        <f>AB5/$AB$7</f>
        <v>0.6224188790560472</v>
      </c>
    </row>
    <row r="6" spans="1:29" s="325" customFormat="1" ht="15" thickBot="1" x14ac:dyDescent="0.4">
      <c r="A6" s="25" t="s">
        <v>38</v>
      </c>
      <c r="B6" s="192">
        <v>5</v>
      </c>
      <c r="C6" s="124">
        <f>B6/$B$7</f>
        <v>0.26315789473684209</v>
      </c>
      <c r="D6" s="192">
        <v>44</v>
      </c>
      <c r="E6" s="124">
        <f>D6/$D$7</f>
        <v>0.55000000000000004</v>
      </c>
      <c r="F6" s="192">
        <v>12</v>
      </c>
      <c r="G6" s="124">
        <f>F6/$F$7</f>
        <v>0.48</v>
      </c>
      <c r="H6" s="192">
        <v>6</v>
      </c>
      <c r="I6" s="124">
        <f>H6/$H$7</f>
        <v>0.5</v>
      </c>
      <c r="J6" s="192">
        <v>35</v>
      </c>
      <c r="K6" s="124">
        <f>J6/$J$7</f>
        <v>0.60344827586206895</v>
      </c>
      <c r="L6" s="192">
        <v>31</v>
      </c>
      <c r="M6" s="124">
        <f>L6/$L$7</f>
        <v>0.5636363636363636</v>
      </c>
      <c r="N6" s="192">
        <v>0</v>
      </c>
      <c r="O6" s="124">
        <f>N6/$L$7</f>
        <v>0</v>
      </c>
      <c r="P6" s="192">
        <v>10</v>
      </c>
      <c r="Q6" s="124">
        <f>P6/$L$7</f>
        <v>0.18181818181818182</v>
      </c>
      <c r="R6" s="192">
        <v>35</v>
      </c>
      <c r="S6" s="124">
        <f>R6/$L$7</f>
        <v>0.63636363636363635</v>
      </c>
      <c r="T6" s="192">
        <v>21</v>
      </c>
      <c r="U6" s="124">
        <f>T6/$L$7</f>
        <v>0.38181818181818183</v>
      </c>
      <c r="V6" s="192">
        <v>124</v>
      </c>
      <c r="W6" s="124">
        <f>V6/$L$7</f>
        <v>2.2545454545454544</v>
      </c>
      <c r="X6" s="192">
        <v>1</v>
      </c>
      <c r="Y6" s="124">
        <f>X6/$L$7</f>
        <v>1.8181818181818181E-2</v>
      </c>
      <c r="Z6" s="192">
        <v>60</v>
      </c>
      <c r="AA6" s="124">
        <f>Z6/$L$7</f>
        <v>1.0909090909090908</v>
      </c>
      <c r="AB6" s="45">
        <f t="shared" ref="AB6:AB7" si="0">B6+D6+F6+H6+J6+L6+N6+P6+R6+T6+V6+X6+Z6</f>
        <v>384</v>
      </c>
      <c r="AC6" s="389">
        <f>AB6/$AB$7</f>
        <v>0.3775811209439528</v>
      </c>
    </row>
    <row r="7" spans="1:29" s="325" customFormat="1" ht="15" thickBot="1" x14ac:dyDescent="0.4">
      <c r="A7" s="19" t="s">
        <v>2</v>
      </c>
      <c r="B7" s="125">
        <f>SUM(B5:B6)</f>
        <v>19</v>
      </c>
      <c r="C7" s="126">
        <f>B7/$B$7</f>
        <v>1</v>
      </c>
      <c r="D7" s="127">
        <f>SUM(D5:D6)</f>
        <v>80</v>
      </c>
      <c r="E7" s="126">
        <f>D7/$D$7</f>
        <v>1</v>
      </c>
      <c r="F7" s="127">
        <f>SUM(F5:F6)</f>
        <v>25</v>
      </c>
      <c r="G7" s="126">
        <f>F7/$F$7</f>
        <v>1</v>
      </c>
      <c r="H7" s="127">
        <f>SUM(H5:H6)</f>
        <v>12</v>
      </c>
      <c r="I7" s="200">
        <f>H7/$H$7</f>
        <v>1</v>
      </c>
      <c r="J7" s="201">
        <f>SUM(J5:J6)</f>
        <v>58</v>
      </c>
      <c r="K7" s="200">
        <f>J7/$J$7</f>
        <v>1</v>
      </c>
      <c r="L7" s="201">
        <f>SUM(L5:L6)</f>
        <v>55</v>
      </c>
      <c r="M7" s="126">
        <f>L7/$L$7</f>
        <v>1</v>
      </c>
      <c r="N7" s="201">
        <f>SUM(N5:N6)</f>
        <v>0</v>
      </c>
      <c r="O7" s="126">
        <f>N7/$L$7</f>
        <v>0</v>
      </c>
      <c r="P7" s="201">
        <f>SUM(P5:P6)</f>
        <v>41</v>
      </c>
      <c r="Q7" s="126">
        <f>P7/$L$7</f>
        <v>0.74545454545454548</v>
      </c>
      <c r="R7" s="201">
        <f>SUM(R5:R6)</f>
        <v>126</v>
      </c>
      <c r="S7" s="126">
        <f>R7/$L$7</f>
        <v>2.290909090909091</v>
      </c>
      <c r="T7" s="201">
        <f>SUM(T5:T6)</f>
        <v>77</v>
      </c>
      <c r="U7" s="126">
        <f>T7/$L$7</f>
        <v>1.4</v>
      </c>
      <c r="V7" s="201">
        <f>SUM(V5:V6)</f>
        <v>340</v>
      </c>
      <c r="W7" s="126">
        <f>V7/$L$7</f>
        <v>6.1818181818181817</v>
      </c>
      <c r="X7" s="201">
        <f>SUM(X5:X6)</f>
        <v>2</v>
      </c>
      <c r="Y7" s="126">
        <f>X7/$L$7</f>
        <v>3.6363636363636362E-2</v>
      </c>
      <c r="Z7" s="201">
        <f>SUM(Z5:Z6)</f>
        <v>182</v>
      </c>
      <c r="AA7" s="126">
        <f>Z7/$L$7</f>
        <v>3.3090909090909091</v>
      </c>
      <c r="AB7" s="71">
        <f t="shared" si="0"/>
        <v>1017</v>
      </c>
      <c r="AC7" s="171">
        <f>AB7/$AB$7</f>
        <v>1</v>
      </c>
    </row>
    <row r="8" spans="1:29" s="325" customFormat="1" x14ac:dyDescent="0.35">
      <c r="A8" s="163"/>
      <c r="B8" s="143"/>
      <c r="C8" s="164"/>
      <c r="D8" s="143"/>
      <c r="E8" s="164"/>
      <c r="F8" s="143"/>
      <c r="G8" s="164"/>
      <c r="H8" s="143"/>
      <c r="I8" s="164"/>
      <c r="J8" s="143"/>
      <c r="K8" s="165"/>
      <c r="L8" s="143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7"/>
      <c r="AC8" s="165"/>
    </row>
    <row r="9" spans="1:29" s="325" customFormat="1" x14ac:dyDescent="0.35">
      <c r="B9" s="97"/>
      <c r="C9" s="97"/>
      <c r="D9" s="97"/>
      <c r="E9" s="97"/>
      <c r="F9" s="97"/>
      <c r="G9" s="97"/>
      <c r="H9" s="97"/>
      <c r="I9" s="97"/>
      <c r="J9" s="97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</row>
    <row r="10" spans="1:29" s="325" customFormat="1" x14ac:dyDescent="0.35">
      <c r="A10" s="9" t="s">
        <v>145</v>
      </c>
      <c r="B10" s="97"/>
      <c r="C10" s="97"/>
      <c r="D10" s="97"/>
      <c r="E10" s="97"/>
      <c r="F10" s="97"/>
      <c r="G10" s="97"/>
      <c r="H10" s="97"/>
      <c r="I10" s="97"/>
      <c r="J10" s="97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</row>
    <row r="11" spans="1:29" s="325" customFormat="1" x14ac:dyDescent="0.35">
      <c r="B11" s="97"/>
      <c r="C11" s="97"/>
      <c r="D11" s="97"/>
      <c r="E11" s="97"/>
      <c r="F11" s="97"/>
      <c r="G11" s="97"/>
      <c r="H11" s="97"/>
      <c r="I11" s="97"/>
      <c r="J11" s="97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</row>
    <row r="12" spans="1:29" x14ac:dyDescent="0.35">
      <c r="A12" s="299"/>
      <c r="B12" s="97"/>
      <c r="C12" s="97"/>
      <c r="D12" s="97"/>
      <c r="E12" s="97"/>
      <c r="F12" s="97"/>
      <c r="G12" s="97"/>
      <c r="H12" s="97"/>
      <c r="I12" s="97"/>
      <c r="J12" s="97"/>
      <c r="K12" s="299"/>
      <c r="L12" s="299"/>
      <c r="M12" s="299"/>
      <c r="AB12" s="299"/>
      <c r="AC12" s="299"/>
    </row>
    <row r="13" spans="1:29" x14ac:dyDescent="0.35">
      <c r="A13" s="299"/>
      <c r="B13" s="97"/>
      <c r="C13" s="97"/>
      <c r="D13" s="97"/>
      <c r="E13" s="97"/>
      <c r="F13" s="97"/>
      <c r="G13" s="97"/>
      <c r="H13" s="97"/>
      <c r="I13" s="97"/>
      <c r="J13" s="97"/>
      <c r="K13" s="299"/>
      <c r="L13" s="299"/>
      <c r="M13" s="299"/>
      <c r="AB13" s="299"/>
      <c r="AC13" s="299"/>
    </row>
    <row r="14" spans="1:29" x14ac:dyDescent="0.35">
      <c r="B14" s="97"/>
      <c r="C14" s="97"/>
      <c r="D14" s="97"/>
      <c r="E14" s="97"/>
      <c r="F14" s="97"/>
      <c r="G14" s="97"/>
      <c r="H14" s="97"/>
      <c r="I14" s="97"/>
      <c r="J14" s="97"/>
    </row>
    <row r="15" spans="1:29" x14ac:dyDescent="0.35">
      <c r="B15" s="97"/>
      <c r="C15" s="97"/>
      <c r="D15" s="97"/>
      <c r="E15" s="97"/>
      <c r="F15" s="97"/>
      <c r="G15" s="97"/>
      <c r="H15" s="97"/>
      <c r="I15" s="97"/>
      <c r="J15" s="97"/>
    </row>
    <row r="16" spans="1:29" x14ac:dyDescent="0.35">
      <c r="B16" s="97"/>
      <c r="C16" s="97"/>
      <c r="D16" s="97"/>
      <c r="E16" s="97"/>
      <c r="F16" s="97"/>
      <c r="G16" s="97"/>
      <c r="H16" s="97"/>
      <c r="I16" s="97"/>
      <c r="J16" s="97"/>
    </row>
    <row r="17" spans="2:10" x14ac:dyDescent="0.35">
      <c r="B17" s="97"/>
      <c r="C17" s="97"/>
      <c r="D17" s="97"/>
      <c r="E17" s="97"/>
      <c r="F17" s="97"/>
      <c r="G17" s="97"/>
      <c r="H17" s="97"/>
      <c r="I17" s="97"/>
      <c r="J17" s="97"/>
    </row>
    <row r="18" spans="2:10" x14ac:dyDescent="0.35">
      <c r="B18" s="97"/>
      <c r="C18" s="97"/>
      <c r="D18" s="97"/>
      <c r="E18" s="97"/>
      <c r="F18" s="97"/>
      <c r="G18" s="97"/>
      <c r="H18" s="97"/>
      <c r="I18" s="97"/>
      <c r="J18" s="97"/>
    </row>
    <row r="19" spans="2:10" x14ac:dyDescent="0.35">
      <c r="B19" s="97"/>
      <c r="C19" s="97"/>
      <c r="D19" s="97"/>
      <c r="E19" s="97"/>
      <c r="F19" s="97"/>
      <c r="G19" s="97"/>
      <c r="H19" s="97"/>
      <c r="I19" s="97"/>
      <c r="J19" s="97"/>
    </row>
    <row r="20" spans="2:10" x14ac:dyDescent="0.35">
      <c r="B20" s="97"/>
      <c r="C20" s="97"/>
      <c r="D20" s="97"/>
      <c r="E20" s="97"/>
      <c r="F20" s="97"/>
      <c r="G20" s="97"/>
      <c r="H20" s="97"/>
      <c r="I20" s="97"/>
      <c r="J20" s="97"/>
    </row>
    <row r="21" spans="2:10" x14ac:dyDescent="0.35">
      <c r="B21" s="97"/>
      <c r="C21" s="97"/>
      <c r="D21" s="97"/>
      <c r="E21" s="97"/>
      <c r="F21" s="97"/>
      <c r="G21" s="97"/>
      <c r="H21" s="97"/>
      <c r="I21" s="97"/>
      <c r="J21" s="97"/>
    </row>
    <row r="22" spans="2:10" x14ac:dyDescent="0.35">
      <c r="B22" s="97"/>
      <c r="C22" s="97"/>
      <c r="D22" s="97"/>
      <c r="E22" s="97"/>
      <c r="F22" s="97"/>
      <c r="G22" s="97"/>
      <c r="H22" s="97"/>
      <c r="I22" s="97"/>
      <c r="J22" s="97"/>
    </row>
    <row r="23" spans="2:10" x14ac:dyDescent="0.35">
      <c r="B23" s="97"/>
      <c r="C23" s="97"/>
      <c r="D23" s="97"/>
      <c r="E23" s="97"/>
      <c r="F23" s="97"/>
      <c r="G23" s="97"/>
      <c r="H23" s="97"/>
      <c r="I23" s="97"/>
      <c r="J23" s="97"/>
    </row>
  </sheetData>
  <mergeCells count="14">
    <mergeCell ref="J3:K3"/>
    <mergeCell ref="L3:M3"/>
    <mergeCell ref="A1:D1"/>
    <mergeCell ref="B3:C3"/>
    <mergeCell ref="D3:E3"/>
    <mergeCell ref="F3:G3"/>
    <mergeCell ref="H3:I3"/>
    <mergeCell ref="X3:Y3"/>
    <mergeCell ref="Z3:AA3"/>
    <mergeCell ref="N3:O3"/>
    <mergeCell ref="P3:Q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S15"/>
  <sheetViews>
    <sheetView workbookViewId="0">
      <selection sqref="A1:D1"/>
    </sheetView>
  </sheetViews>
  <sheetFormatPr defaultRowHeight="14.5" x14ac:dyDescent="0.35"/>
  <cols>
    <col min="1" max="1" width="18.453125" customWidth="1"/>
    <col min="2" max="19" width="9.81640625" customWidth="1"/>
  </cols>
  <sheetData>
    <row r="1" spans="1:19" s="325" customFormat="1" x14ac:dyDescent="0.35">
      <c r="A1" s="403" t="s">
        <v>203</v>
      </c>
      <c r="B1" s="403"/>
      <c r="C1" s="403"/>
      <c r="D1" s="403"/>
    </row>
    <row r="2" spans="1:19" s="325" customFormat="1" ht="15" thickBot="1" x14ac:dyDescent="0.4"/>
    <row r="3" spans="1:19" s="325" customFormat="1" ht="15" thickBot="1" x14ac:dyDescent="0.4">
      <c r="A3" s="36" t="s">
        <v>0</v>
      </c>
      <c r="B3" s="432" t="s">
        <v>31</v>
      </c>
      <c r="C3" s="430"/>
      <c r="D3" s="430" t="s">
        <v>32</v>
      </c>
      <c r="E3" s="430"/>
      <c r="F3" s="433" t="s">
        <v>54</v>
      </c>
      <c r="G3" s="434"/>
      <c r="H3" s="433" t="s">
        <v>154</v>
      </c>
      <c r="I3" s="434"/>
      <c r="J3" s="430" t="s">
        <v>33</v>
      </c>
      <c r="K3" s="430"/>
      <c r="L3" s="430" t="s">
        <v>34</v>
      </c>
      <c r="M3" s="430"/>
      <c r="N3" s="430" t="s">
        <v>35</v>
      </c>
      <c r="O3" s="430"/>
      <c r="P3" s="430" t="s">
        <v>36</v>
      </c>
      <c r="Q3" s="431"/>
      <c r="R3" s="42" t="s">
        <v>2</v>
      </c>
      <c r="S3" s="43" t="s">
        <v>3</v>
      </c>
    </row>
    <row r="4" spans="1:19" s="325" customFormat="1" ht="29.5" thickBot="1" x14ac:dyDescent="0.4">
      <c r="A4" s="12" t="s">
        <v>1</v>
      </c>
      <c r="B4" s="311" t="s">
        <v>4</v>
      </c>
      <c r="C4" s="327" t="s">
        <v>39</v>
      </c>
      <c r="D4" s="327" t="s">
        <v>4</v>
      </c>
      <c r="E4" s="327" t="s">
        <v>39</v>
      </c>
      <c r="F4" s="327" t="s">
        <v>4</v>
      </c>
      <c r="G4" s="327" t="s">
        <v>39</v>
      </c>
      <c r="H4" s="327" t="s">
        <v>4</v>
      </c>
      <c r="I4" s="327" t="s">
        <v>39</v>
      </c>
      <c r="J4" s="327" t="s">
        <v>4</v>
      </c>
      <c r="K4" s="327" t="s">
        <v>39</v>
      </c>
      <c r="L4" s="327" t="s">
        <v>4</v>
      </c>
      <c r="M4" s="327" t="s">
        <v>39</v>
      </c>
      <c r="N4" s="327" t="s">
        <v>4</v>
      </c>
      <c r="O4" s="327" t="s">
        <v>39</v>
      </c>
      <c r="P4" s="327" t="s">
        <v>4</v>
      </c>
      <c r="Q4" s="328" t="s">
        <v>39</v>
      </c>
      <c r="R4" s="329" t="s">
        <v>4</v>
      </c>
      <c r="S4" s="330" t="s">
        <v>39</v>
      </c>
    </row>
    <row r="5" spans="1:19" s="325" customFormat="1" ht="15" thickBot="1" x14ac:dyDescent="0.4">
      <c r="A5" s="24" t="s">
        <v>37</v>
      </c>
      <c r="B5" s="180">
        <v>109</v>
      </c>
      <c r="C5" s="123">
        <f>B5/$B$7</f>
        <v>0.70322580645161292</v>
      </c>
      <c r="D5" s="180">
        <v>70</v>
      </c>
      <c r="E5" s="123">
        <f>D5/$D$7</f>
        <v>0.59322033898305082</v>
      </c>
      <c r="F5" s="180">
        <v>50</v>
      </c>
      <c r="G5" s="123">
        <f>F5/$F$7</f>
        <v>0.66666666666666663</v>
      </c>
      <c r="H5" s="180">
        <v>154</v>
      </c>
      <c r="I5" s="123">
        <f>H5/$H$7</f>
        <v>0.62348178137651822</v>
      </c>
      <c r="J5" s="180">
        <v>10</v>
      </c>
      <c r="K5" s="123">
        <f>J5/$J$7</f>
        <v>0.90909090909090906</v>
      </c>
      <c r="L5" s="180">
        <v>145</v>
      </c>
      <c r="M5" s="123">
        <f>L5/$L$7</f>
        <v>0.61965811965811968</v>
      </c>
      <c r="N5" s="180">
        <v>57</v>
      </c>
      <c r="O5" s="123">
        <f>N5/$N$7</f>
        <v>0.59375</v>
      </c>
      <c r="P5" s="180">
        <v>38</v>
      </c>
      <c r="Q5" s="39">
        <f>P5/$P$7</f>
        <v>0.46913580246913578</v>
      </c>
      <c r="R5" s="45">
        <f>B5+D5+F5+H5+J5+L5+N5+P5</f>
        <v>633</v>
      </c>
      <c r="S5" s="2">
        <f>R5/$R$7</f>
        <v>0.6224188790560472</v>
      </c>
    </row>
    <row r="6" spans="1:19" s="325" customFormat="1" ht="15" thickBot="1" x14ac:dyDescent="0.4">
      <c r="A6" s="25" t="s">
        <v>38</v>
      </c>
      <c r="B6" s="192">
        <v>46</v>
      </c>
      <c r="C6" s="124">
        <f>B6/$B$7</f>
        <v>0.29677419354838708</v>
      </c>
      <c r="D6" s="192">
        <v>48</v>
      </c>
      <c r="E6" s="124">
        <f>D6/$D$7</f>
        <v>0.40677966101694918</v>
      </c>
      <c r="F6" s="192">
        <v>25</v>
      </c>
      <c r="G6" s="124">
        <f t="shared" ref="G6:G7" si="0">F6/$F$7</f>
        <v>0.33333333333333331</v>
      </c>
      <c r="H6" s="192">
        <v>93</v>
      </c>
      <c r="I6" s="124">
        <f t="shared" ref="I6:I7" si="1">H6/$H$7</f>
        <v>0.37651821862348178</v>
      </c>
      <c r="J6" s="192">
        <v>1</v>
      </c>
      <c r="K6" s="124">
        <f t="shared" ref="K6:K7" si="2">J6/$J$7</f>
        <v>9.0909090909090912E-2</v>
      </c>
      <c r="L6" s="192">
        <v>89</v>
      </c>
      <c r="M6" s="124">
        <f t="shared" ref="M6:M7" si="3">L6/$L$7</f>
        <v>0.38034188034188032</v>
      </c>
      <c r="N6" s="192">
        <v>39</v>
      </c>
      <c r="O6" s="124">
        <f t="shared" ref="O6:O7" si="4">N6/$N$7</f>
        <v>0.40625</v>
      </c>
      <c r="P6" s="192">
        <v>43</v>
      </c>
      <c r="Q6" s="40">
        <f t="shared" ref="Q6:Q7" si="5">P6/$P$7</f>
        <v>0.53086419753086422</v>
      </c>
      <c r="R6" s="331">
        <f>B6+D6+F6+H6+J6+L6+N6+P6</f>
        <v>384</v>
      </c>
      <c r="S6" s="3">
        <f t="shared" ref="S6:S7" si="6">R6/$R$7</f>
        <v>0.3775811209439528</v>
      </c>
    </row>
    <row r="7" spans="1:19" s="325" customFormat="1" ht="15" thickBot="1" x14ac:dyDescent="0.4">
      <c r="A7" s="332" t="s">
        <v>2</v>
      </c>
      <c r="B7" s="312">
        <f>SUM(B5:B6)</f>
        <v>155</v>
      </c>
      <c r="C7" s="333">
        <f>B7/$B$7</f>
        <v>1</v>
      </c>
      <c r="D7" s="334">
        <f>SUM(D5:D6)</f>
        <v>118</v>
      </c>
      <c r="E7" s="333">
        <f>D7/$D$7</f>
        <v>1</v>
      </c>
      <c r="F7" s="334">
        <f>SUM(F5:F6)</f>
        <v>75</v>
      </c>
      <c r="G7" s="333">
        <f t="shared" si="0"/>
        <v>1</v>
      </c>
      <c r="H7" s="334">
        <f>SUM(H5:H6)</f>
        <v>247</v>
      </c>
      <c r="I7" s="333">
        <f t="shared" si="1"/>
        <v>1</v>
      </c>
      <c r="J7" s="334">
        <f>SUM(J5:J6)</f>
        <v>11</v>
      </c>
      <c r="K7" s="333">
        <f t="shared" si="2"/>
        <v>1</v>
      </c>
      <c r="L7" s="334">
        <f>SUM(L5:L6)</f>
        <v>234</v>
      </c>
      <c r="M7" s="333">
        <f t="shared" si="3"/>
        <v>1</v>
      </c>
      <c r="N7" s="334">
        <f>SUM(N5:N6)</f>
        <v>96</v>
      </c>
      <c r="O7" s="333">
        <f t="shared" si="4"/>
        <v>1</v>
      </c>
      <c r="P7" s="334">
        <f>SUM(P5:P6)</f>
        <v>81</v>
      </c>
      <c r="Q7" s="335">
        <f t="shared" si="5"/>
        <v>1</v>
      </c>
      <c r="R7" s="336">
        <f>SUM(R5:R6)</f>
        <v>1017</v>
      </c>
      <c r="S7" s="337">
        <f t="shared" si="6"/>
        <v>1</v>
      </c>
    </row>
    <row r="8" spans="1:19" s="325" customFormat="1" ht="15" thickBot="1" x14ac:dyDescent="0.4">
      <c r="A8" s="82"/>
    </row>
    <row r="9" spans="1:19" s="97" customFormat="1" ht="15" thickBot="1" x14ac:dyDescent="0.4">
      <c r="A9" s="156" t="s">
        <v>45</v>
      </c>
      <c r="B9" s="409">
        <v>0.67310000000000003</v>
      </c>
      <c r="C9" s="410"/>
      <c r="D9" s="409">
        <v>0.61950000000000005</v>
      </c>
      <c r="E9" s="410"/>
      <c r="F9" s="409">
        <v>0.68600000000000005</v>
      </c>
      <c r="G9" s="410"/>
      <c r="H9" s="409">
        <v>0.62690000000000001</v>
      </c>
      <c r="I9" s="410"/>
      <c r="J9" s="409">
        <v>0.85709999999999997</v>
      </c>
      <c r="K9" s="410"/>
      <c r="L9" s="409">
        <v>0.60429999999999995</v>
      </c>
      <c r="M9" s="410"/>
      <c r="N9" s="409">
        <v>0.58760000000000001</v>
      </c>
      <c r="O9" s="410"/>
      <c r="P9" s="409">
        <v>0.44740000000000002</v>
      </c>
      <c r="Q9" s="410"/>
      <c r="R9" s="409">
        <v>0.61919999999999997</v>
      </c>
      <c r="S9" s="410"/>
    </row>
    <row r="10" spans="1:19" s="97" customFormat="1" ht="15" thickBot="1" x14ac:dyDescent="0.4">
      <c r="A10" s="205" t="s">
        <v>165</v>
      </c>
    </row>
    <row r="11" spans="1:19" s="325" customFormat="1" x14ac:dyDescent="0.35"/>
    <row r="12" spans="1:19" s="325" customFormat="1" x14ac:dyDescent="0.35"/>
    <row r="13" spans="1:19" s="325" customFormat="1" x14ac:dyDescent="0.35">
      <c r="A13" s="9" t="s">
        <v>145</v>
      </c>
    </row>
    <row r="14" spans="1:19" s="325" customFormat="1" x14ac:dyDescent="0.35">
      <c r="A14" s="9"/>
    </row>
    <row r="15" spans="1:19" x14ac:dyDescent="0.35">
      <c r="A15" s="299"/>
      <c r="B15" s="299"/>
      <c r="C15" s="313"/>
      <c r="D15" s="299"/>
      <c r="E15" s="313"/>
      <c r="F15" s="299"/>
      <c r="G15" s="313"/>
      <c r="H15" s="299"/>
      <c r="I15" s="313"/>
      <c r="J15" s="299"/>
      <c r="K15" s="313"/>
      <c r="L15" s="299"/>
      <c r="M15" s="313"/>
      <c r="N15" s="299"/>
      <c r="O15" s="313"/>
      <c r="P15" s="299"/>
      <c r="Q15" s="313"/>
      <c r="R15" s="299"/>
      <c r="S15" s="313"/>
    </row>
  </sheetData>
  <mergeCells count="18">
    <mergeCell ref="J9:K9"/>
    <mergeCell ref="D9:E9"/>
    <mergeCell ref="B9:C9"/>
    <mergeCell ref="R9:S9"/>
    <mergeCell ref="P9:Q9"/>
    <mergeCell ref="N9:O9"/>
    <mergeCell ref="L9:M9"/>
    <mergeCell ref="H9:I9"/>
    <mergeCell ref="F9:G9"/>
    <mergeCell ref="A1:D1"/>
    <mergeCell ref="P3:Q3"/>
    <mergeCell ref="B3:C3"/>
    <mergeCell ref="D3:E3"/>
    <mergeCell ref="J3:K3"/>
    <mergeCell ref="L3:M3"/>
    <mergeCell ref="N3:O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S14"/>
  <sheetViews>
    <sheetView workbookViewId="0">
      <selection sqref="A1:D1"/>
    </sheetView>
  </sheetViews>
  <sheetFormatPr defaultColWidth="9.1796875" defaultRowHeight="14.5" x14ac:dyDescent="0.35"/>
  <cols>
    <col min="1" max="1" width="12.7265625" style="20" bestFit="1" customWidth="1"/>
    <col min="2" max="2" width="9.1796875" style="20"/>
    <col min="3" max="3" width="9.1796875" style="20" customWidth="1"/>
    <col min="4" max="4" width="9.1796875" style="20"/>
    <col min="5" max="5" width="9.1796875" style="20" customWidth="1"/>
    <col min="6" max="6" width="9.1796875" style="20"/>
    <col min="7" max="7" width="9.1796875" style="20" customWidth="1"/>
    <col min="8" max="8" width="9.1796875" style="20"/>
    <col min="9" max="9" width="9.1796875" style="20" customWidth="1"/>
    <col min="10" max="10" width="9.1796875" style="20"/>
    <col min="11" max="11" width="9.1796875" style="20" customWidth="1"/>
    <col min="12" max="12" width="9.1796875" style="20"/>
    <col min="13" max="13" width="9.1796875" style="20" customWidth="1"/>
    <col min="14" max="17" width="9.1796875" style="20"/>
    <col min="18" max="19" width="9.1796875" style="20" customWidth="1"/>
    <col min="20" max="16384" width="9.1796875" style="20"/>
  </cols>
  <sheetData>
    <row r="1" spans="1:19" x14ac:dyDescent="0.35">
      <c r="A1" s="403" t="s">
        <v>204</v>
      </c>
      <c r="B1" s="403"/>
      <c r="C1" s="403"/>
      <c r="D1" s="403"/>
    </row>
    <row r="2" spans="1:19" ht="15" thickBot="1" x14ac:dyDescent="0.4"/>
    <row r="3" spans="1:19" ht="15.75" customHeight="1" thickBot="1" x14ac:dyDescent="0.4">
      <c r="A3" s="47" t="s">
        <v>41</v>
      </c>
      <c r="B3" s="440" t="s">
        <v>172</v>
      </c>
      <c r="C3" s="440"/>
      <c r="D3" s="440" t="s">
        <v>26</v>
      </c>
      <c r="E3" s="440"/>
      <c r="F3" s="440" t="s">
        <v>27</v>
      </c>
      <c r="G3" s="440"/>
      <c r="H3" s="414" t="s">
        <v>40</v>
      </c>
      <c r="I3" s="415"/>
      <c r="J3" s="414" t="s">
        <v>91</v>
      </c>
      <c r="K3" s="439"/>
      <c r="L3" s="435" t="s">
        <v>29</v>
      </c>
      <c r="M3" s="436"/>
      <c r="N3" s="441" t="s">
        <v>150</v>
      </c>
      <c r="O3" s="416"/>
      <c r="P3" s="437" t="s">
        <v>49</v>
      </c>
      <c r="Q3" s="438"/>
      <c r="R3" s="435" t="s">
        <v>46</v>
      </c>
      <c r="S3" s="436"/>
    </row>
    <row r="4" spans="1:19" ht="29.5" thickBot="1" x14ac:dyDescent="0.4">
      <c r="A4" s="83" t="s">
        <v>1</v>
      </c>
      <c r="B4" s="63" t="s">
        <v>4</v>
      </c>
      <c r="C4" s="62" t="s">
        <v>39</v>
      </c>
      <c r="D4" s="63" t="s">
        <v>4</v>
      </c>
      <c r="E4" s="64" t="s">
        <v>39</v>
      </c>
      <c r="F4" s="60" t="s">
        <v>4</v>
      </c>
      <c r="G4" s="61" t="s">
        <v>39</v>
      </c>
      <c r="H4" s="61" t="s">
        <v>4</v>
      </c>
      <c r="I4" s="61" t="s">
        <v>39</v>
      </c>
      <c r="J4" s="61" t="s">
        <v>4</v>
      </c>
      <c r="K4" s="62" t="s">
        <v>39</v>
      </c>
      <c r="L4" s="338" t="s">
        <v>4</v>
      </c>
      <c r="M4" s="339" t="s">
        <v>39</v>
      </c>
      <c r="N4" s="62" t="s">
        <v>4</v>
      </c>
      <c r="O4" s="83" t="s">
        <v>39</v>
      </c>
      <c r="P4" s="62" t="s">
        <v>4</v>
      </c>
      <c r="Q4" s="99" t="s">
        <v>39</v>
      </c>
      <c r="R4" s="63" t="s">
        <v>4</v>
      </c>
      <c r="S4" s="64" t="s">
        <v>39</v>
      </c>
    </row>
    <row r="5" spans="1:19" x14ac:dyDescent="0.35">
      <c r="A5" s="195" t="s">
        <v>182</v>
      </c>
      <c r="B5" s="56">
        <v>3</v>
      </c>
      <c r="C5" s="57">
        <f t="shared" ref="C5:C11" si="0">B5/$B$11</f>
        <v>0.375</v>
      </c>
      <c r="D5" s="58">
        <v>26</v>
      </c>
      <c r="E5" s="59">
        <f t="shared" ref="E5:E11" si="1">D5/$D$11</f>
        <v>0.25242718446601942</v>
      </c>
      <c r="F5" s="56">
        <v>35</v>
      </c>
      <c r="G5" s="382">
        <f t="shared" ref="G5:G11" si="2">F5/$F$11</f>
        <v>6.5543071161048683E-2</v>
      </c>
      <c r="H5" s="56">
        <v>3</v>
      </c>
      <c r="I5" s="98">
        <f t="shared" ref="I5:I11" si="3">H5/$H$11</f>
        <v>1.1194029850746268E-2</v>
      </c>
      <c r="J5" s="56">
        <v>0</v>
      </c>
      <c r="K5" s="194">
        <f t="shared" ref="K5:K11" si="4">J5/$J$11</f>
        <v>0</v>
      </c>
      <c r="L5" s="100">
        <f>B5+D5+F5+H5+J5</f>
        <v>67</v>
      </c>
      <c r="M5" s="98">
        <f t="shared" ref="M5:M11" si="5">L5/$L$11</f>
        <v>6.7269076305220887E-2</v>
      </c>
      <c r="N5" s="100">
        <v>0</v>
      </c>
      <c r="O5" s="98">
        <f t="shared" ref="O5:O11" si="6">N5/$N$11</f>
        <v>0</v>
      </c>
      <c r="P5" s="100">
        <v>0</v>
      </c>
      <c r="Q5" s="194">
        <f t="shared" ref="Q5:Q10" si="7">P5/$N$11</f>
        <v>0</v>
      </c>
      <c r="R5" s="198">
        <f>L5+N5+P5</f>
        <v>67</v>
      </c>
      <c r="S5" s="98">
        <f t="shared" ref="S5:S11" si="8">R5/$R$11</f>
        <v>6.5880039331366769E-2</v>
      </c>
    </row>
    <row r="6" spans="1:19" x14ac:dyDescent="0.35">
      <c r="A6" s="48" t="s">
        <v>183</v>
      </c>
      <c r="B6" s="56">
        <v>2</v>
      </c>
      <c r="C6" s="51">
        <f t="shared" si="0"/>
        <v>0.25</v>
      </c>
      <c r="D6" s="58">
        <v>34</v>
      </c>
      <c r="E6" s="53">
        <f t="shared" si="1"/>
        <v>0.3300970873786408</v>
      </c>
      <c r="F6" s="56">
        <v>169</v>
      </c>
      <c r="G6" s="383">
        <f t="shared" si="2"/>
        <v>0.31647940074906367</v>
      </c>
      <c r="H6" s="56">
        <v>51</v>
      </c>
      <c r="I6" s="53">
        <f t="shared" si="3"/>
        <v>0.19029850746268656</v>
      </c>
      <c r="J6" s="56">
        <v>3</v>
      </c>
      <c r="K6" s="51">
        <f t="shared" si="4"/>
        <v>3.614457831325301E-2</v>
      </c>
      <c r="L6" s="52">
        <f t="shared" ref="L6:L10" si="9">B6+D6+F6+H6+J6</f>
        <v>259</v>
      </c>
      <c r="M6" s="53">
        <f t="shared" si="5"/>
        <v>0.26004016064257029</v>
      </c>
      <c r="N6" s="58">
        <v>0</v>
      </c>
      <c r="O6" s="53">
        <f t="shared" si="6"/>
        <v>0</v>
      </c>
      <c r="P6" s="52">
        <v>0</v>
      </c>
      <c r="Q6" s="51">
        <f t="shared" si="7"/>
        <v>0</v>
      </c>
      <c r="R6" s="198">
        <f t="shared" ref="R6:R10" si="10">L6+N6+P6</f>
        <v>259</v>
      </c>
      <c r="S6" s="59">
        <f t="shared" si="8"/>
        <v>0.25467059980334317</v>
      </c>
    </row>
    <row r="7" spans="1:19" x14ac:dyDescent="0.35">
      <c r="A7" s="48" t="s">
        <v>184</v>
      </c>
      <c r="B7" s="56">
        <v>1</v>
      </c>
      <c r="C7" s="51">
        <f t="shared" si="0"/>
        <v>0.125</v>
      </c>
      <c r="D7" s="58">
        <v>17</v>
      </c>
      <c r="E7" s="53">
        <f t="shared" si="1"/>
        <v>0.1650485436893204</v>
      </c>
      <c r="F7" s="56">
        <v>159</v>
      </c>
      <c r="G7" s="383">
        <f t="shared" si="2"/>
        <v>0.29775280898876405</v>
      </c>
      <c r="H7" s="56">
        <v>109</v>
      </c>
      <c r="I7" s="53">
        <f t="shared" si="3"/>
        <v>0.40671641791044777</v>
      </c>
      <c r="J7" s="56">
        <v>34</v>
      </c>
      <c r="K7" s="51">
        <f t="shared" si="4"/>
        <v>0.40963855421686746</v>
      </c>
      <c r="L7" s="52">
        <f t="shared" si="9"/>
        <v>320</v>
      </c>
      <c r="M7" s="53">
        <f t="shared" si="5"/>
        <v>0.32128514056224899</v>
      </c>
      <c r="N7" s="58">
        <v>3</v>
      </c>
      <c r="O7" s="53">
        <f t="shared" si="6"/>
        <v>0.14285714285714285</v>
      </c>
      <c r="P7" s="52">
        <v>0</v>
      </c>
      <c r="Q7" s="51">
        <f t="shared" si="7"/>
        <v>0</v>
      </c>
      <c r="R7" s="198">
        <f t="shared" si="10"/>
        <v>323</v>
      </c>
      <c r="S7" s="59">
        <f t="shared" si="8"/>
        <v>0.31760078662733532</v>
      </c>
    </row>
    <row r="8" spans="1:19" x14ac:dyDescent="0.35">
      <c r="A8" s="48" t="s">
        <v>185</v>
      </c>
      <c r="B8" s="56">
        <v>1</v>
      </c>
      <c r="C8" s="51">
        <f t="shared" si="0"/>
        <v>0.125</v>
      </c>
      <c r="D8" s="58">
        <v>15</v>
      </c>
      <c r="E8" s="53">
        <f t="shared" si="1"/>
        <v>0.14563106796116504</v>
      </c>
      <c r="F8" s="56">
        <v>71</v>
      </c>
      <c r="G8" s="383">
        <f t="shared" si="2"/>
        <v>0.13295880149812733</v>
      </c>
      <c r="H8" s="56">
        <v>59</v>
      </c>
      <c r="I8" s="53">
        <f t="shared" si="3"/>
        <v>0.22014925373134328</v>
      </c>
      <c r="J8" s="56">
        <v>30</v>
      </c>
      <c r="K8" s="51">
        <f t="shared" si="4"/>
        <v>0.36144578313253012</v>
      </c>
      <c r="L8" s="52">
        <f t="shared" si="9"/>
        <v>176</v>
      </c>
      <c r="M8" s="53">
        <f t="shared" si="5"/>
        <v>0.17670682730923695</v>
      </c>
      <c r="N8" s="58">
        <v>10</v>
      </c>
      <c r="O8" s="53">
        <f t="shared" si="6"/>
        <v>0.47619047619047616</v>
      </c>
      <c r="P8" s="52">
        <v>0</v>
      </c>
      <c r="Q8" s="51">
        <f t="shared" si="7"/>
        <v>0</v>
      </c>
      <c r="R8" s="198">
        <f t="shared" si="10"/>
        <v>186</v>
      </c>
      <c r="S8" s="59">
        <f t="shared" si="8"/>
        <v>0.18289085545722714</v>
      </c>
    </row>
    <row r="9" spans="1:19" x14ac:dyDescent="0.35">
      <c r="A9" s="48" t="s">
        <v>186</v>
      </c>
      <c r="B9" s="56">
        <v>0</v>
      </c>
      <c r="C9" s="51">
        <f t="shared" si="0"/>
        <v>0</v>
      </c>
      <c r="D9" s="58">
        <v>10</v>
      </c>
      <c r="E9" s="53">
        <f t="shared" si="1"/>
        <v>9.7087378640776698E-2</v>
      </c>
      <c r="F9" s="56">
        <v>89</v>
      </c>
      <c r="G9" s="383">
        <f t="shared" si="2"/>
        <v>0.16666666666666666</v>
      </c>
      <c r="H9" s="56">
        <v>45</v>
      </c>
      <c r="I9" s="53">
        <f t="shared" si="3"/>
        <v>0.16791044776119404</v>
      </c>
      <c r="J9" s="56">
        <v>14</v>
      </c>
      <c r="K9" s="51">
        <f t="shared" si="4"/>
        <v>0.16867469879518071</v>
      </c>
      <c r="L9" s="52">
        <f t="shared" si="9"/>
        <v>158</v>
      </c>
      <c r="M9" s="53">
        <f t="shared" si="5"/>
        <v>0.15863453815261044</v>
      </c>
      <c r="N9" s="58">
        <v>7</v>
      </c>
      <c r="O9" s="53">
        <f t="shared" si="6"/>
        <v>0.33333333333333331</v>
      </c>
      <c r="P9" s="52">
        <v>0</v>
      </c>
      <c r="Q9" s="51">
        <f t="shared" si="7"/>
        <v>0</v>
      </c>
      <c r="R9" s="198">
        <f t="shared" si="10"/>
        <v>165</v>
      </c>
      <c r="S9" s="59">
        <f t="shared" si="8"/>
        <v>0.16224188790560473</v>
      </c>
    </row>
    <row r="10" spans="1:19" ht="15" thickBot="1" x14ac:dyDescent="0.4">
      <c r="A10" s="48" t="s">
        <v>187</v>
      </c>
      <c r="B10" s="56">
        <v>1</v>
      </c>
      <c r="C10" s="51">
        <f t="shared" si="0"/>
        <v>0.125</v>
      </c>
      <c r="D10" s="58">
        <v>1</v>
      </c>
      <c r="E10" s="53">
        <f t="shared" si="1"/>
        <v>9.7087378640776691E-3</v>
      </c>
      <c r="F10" s="56">
        <v>11</v>
      </c>
      <c r="G10" s="383">
        <f t="shared" si="2"/>
        <v>2.0599250936329586E-2</v>
      </c>
      <c r="H10" s="56">
        <v>1</v>
      </c>
      <c r="I10" s="53">
        <f t="shared" si="3"/>
        <v>3.7313432835820895E-3</v>
      </c>
      <c r="J10" s="56">
        <v>2</v>
      </c>
      <c r="K10" s="51">
        <f t="shared" si="4"/>
        <v>2.4096385542168676E-2</v>
      </c>
      <c r="L10" s="52">
        <f t="shared" si="9"/>
        <v>16</v>
      </c>
      <c r="M10" s="53">
        <f t="shared" si="5"/>
        <v>1.6064257028112448E-2</v>
      </c>
      <c r="N10" s="58">
        <v>1</v>
      </c>
      <c r="O10" s="53">
        <f t="shared" si="6"/>
        <v>4.7619047619047616E-2</v>
      </c>
      <c r="P10" s="52">
        <v>0</v>
      </c>
      <c r="Q10" s="51">
        <f t="shared" si="7"/>
        <v>0</v>
      </c>
      <c r="R10" s="198">
        <f t="shared" si="10"/>
        <v>17</v>
      </c>
      <c r="S10" s="59">
        <f t="shared" si="8"/>
        <v>1.6715830875122909E-2</v>
      </c>
    </row>
    <row r="11" spans="1:19" ht="15" thickBot="1" x14ac:dyDescent="0.4">
      <c r="A11" s="50" t="s">
        <v>2</v>
      </c>
      <c r="B11" s="22">
        <f>SUM(B5:B10)</f>
        <v>8</v>
      </c>
      <c r="C11" s="41">
        <f t="shared" si="0"/>
        <v>1</v>
      </c>
      <c r="D11" s="46">
        <f>SUM(D5:D10)</f>
        <v>103</v>
      </c>
      <c r="E11" s="6">
        <f t="shared" si="1"/>
        <v>1</v>
      </c>
      <c r="F11" s="191">
        <f>SUM(F5:F10)</f>
        <v>534</v>
      </c>
      <c r="G11" s="41">
        <f t="shared" si="2"/>
        <v>1</v>
      </c>
      <c r="H11" s="191">
        <f>SUM(H5:H10)</f>
        <v>268</v>
      </c>
      <c r="I11" s="6">
        <f t="shared" si="3"/>
        <v>1</v>
      </c>
      <c r="J11" s="22">
        <f>SUM(J5:J10)</f>
        <v>83</v>
      </c>
      <c r="K11" s="193">
        <f t="shared" si="4"/>
        <v>1</v>
      </c>
      <c r="L11" s="340">
        <f>SUM(L5:L10)</f>
        <v>996</v>
      </c>
      <c r="M11" s="341">
        <f t="shared" si="5"/>
        <v>1</v>
      </c>
      <c r="N11" s="46">
        <f>SUM(N5:N10)</f>
        <v>21</v>
      </c>
      <c r="O11" s="6">
        <f t="shared" si="6"/>
        <v>1</v>
      </c>
      <c r="P11" s="46">
        <f>SUM(P5:P10)</f>
        <v>0</v>
      </c>
      <c r="Q11" s="41">
        <v>0</v>
      </c>
      <c r="R11" s="185">
        <f>L11+N11+P11</f>
        <v>1017</v>
      </c>
      <c r="S11" s="6">
        <f t="shared" si="8"/>
        <v>1</v>
      </c>
    </row>
    <row r="12" spans="1:19" x14ac:dyDescent="0.35">
      <c r="H12" s="243"/>
      <c r="L12" s="243"/>
    </row>
    <row r="13" spans="1:19" x14ac:dyDescent="0.35">
      <c r="A13" s="9" t="s">
        <v>145</v>
      </c>
    </row>
    <row r="14" spans="1:19" x14ac:dyDescent="0.35">
      <c r="A14" s="9" t="s">
        <v>153</v>
      </c>
    </row>
  </sheetData>
  <mergeCells count="10">
    <mergeCell ref="R3:S3"/>
    <mergeCell ref="A1:D1"/>
    <mergeCell ref="P3:Q3"/>
    <mergeCell ref="H3:I3"/>
    <mergeCell ref="J3:K3"/>
    <mergeCell ref="B3:C3"/>
    <mergeCell ref="D3:E3"/>
    <mergeCell ref="F3:G3"/>
    <mergeCell ref="L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C17"/>
  <sheetViews>
    <sheetView workbookViewId="0">
      <selection sqref="A1:E1"/>
    </sheetView>
  </sheetViews>
  <sheetFormatPr defaultRowHeight="14.5" x14ac:dyDescent="0.35"/>
  <cols>
    <col min="1" max="1" width="12.7265625" bestFit="1" customWidth="1"/>
    <col min="14" max="27" width="9.1796875" style="384"/>
    <col min="28" max="28" width="11.1796875" bestFit="1" customWidth="1"/>
  </cols>
  <sheetData>
    <row r="1" spans="1:29" s="325" customFormat="1" x14ac:dyDescent="0.35">
      <c r="A1" s="403" t="s">
        <v>205</v>
      </c>
      <c r="B1" s="403"/>
      <c r="C1" s="403"/>
      <c r="D1" s="403"/>
      <c r="E1" s="403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</row>
    <row r="2" spans="1:29" s="325" customFormat="1" ht="15" thickBot="1" x14ac:dyDescent="0.4"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</row>
    <row r="3" spans="1:29" s="325" customFormat="1" ht="34.5" customHeight="1" thickBot="1" x14ac:dyDescent="0.4">
      <c r="A3" s="79" t="s">
        <v>41</v>
      </c>
      <c r="B3" s="406" t="s">
        <v>151</v>
      </c>
      <c r="C3" s="407"/>
      <c r="D3" s="407" t="s">
        <v>173</v>
      </c>
      <c r="E3" s="407"/>
      <c r="F3" s="444" t="s">
        <v>174</v>
      </c>
      <c r="G3" s="444"/>
      <c r="H3" s="444" t="s">
        <v>175</v>
      </c>
      <c r="I3" s="444"/>
      <c r="J3" s="444" t="s">
        <v>66</v>
      </c>
      <c r="K3" s="444"/>
      <c r="L3" s="444" t="s">
        <v>176</v>
      </c>
      <c r="M3" s="444"/>
      <c r="N3" s="407" t="s">
        <v>177</v>
      </c>
      <c r="O3" s="407"/>
      <c r="P3" s="407" t="s">
        <v>50</v>
      </c>
      <c r="Q3" s="407"/>
      <c r="R3" s="407" t="s">
        <v>178</v>
      </c>
      <c r="S3" s="407"/>
      <c r="T3" s="407" t="s">
        <v>146</v>
      </c>
      <c r="U3" s="407"/>
      <c r="V3" s="407" t="s">
        <v>179</v>
      </c>
      <c r="W3" s="407"/>
      <c r="X3" s="407" t="s">
        <v>180</v>
      </c>
      <c r="Y3" s="407"/>
      <c r="Z3" s="407" t="s">
        <v>181</v>
      </c>
      <c r="AA3" s="408"/>
      <c r="AB3" s="442" t="s">
        <v>29</v>
      </c>
      <c r="AC3" s="443"/>
    </row>
    <row r="4" spans="1:29" s="325" customFormat="1" ht="44" thickBot="1" x14ac:dyDescent="0.4">
      <c r="A4" s="71"/>
      <c r="B4" s="21" t="s">
        <v>4</v>
      </c>
      <c r="C4" s="7" t="s">
        <v>5</v>
      </c>
      <c r="D4" s="7" t="s">
        <v>4</v>
      </c>
      <c r="E4" s="7" t="s">
        <v>5</v>
      </c>
      <c r="F4" s="7" t="s">
        <v>4</v>
      </c>
      <c r="G4" s="7" t="s">
        <v>5</v>
      </c>
      <c r="H4" s="7" t="s">
        <v>4</v>
      </c>
      <c r="I4" s="7" t="s">
        <v>5</v>
      </c>
      <c r="J4" s="7" t="s">
        <v>4</v>
      </c>
      <c r="K4" s="7" t="s">
        <v>5</v>
      </c>
      <c r="L4" s="7" t="s">
        <v>4</v>
      </c>
      <c r="M4" s="38" t="s">
        <v>5</v>
      </c>
      <c r="N4" s="7" t="s">
        <v>4</v>
      </c>
      <c r="O4" s="38" t="s">
        <v>5</v>
      </c>
      <c r="P4" s="7" t="s">
        <v>4</v>
      </c>
      <c r="Q4" s="38" t="s">
        <v>5</v>
      </c>
      <c r="R4" s="7" t="s">
        <v>4</v>
      </c>
      <c r="S4" s="38" t="s">
        <v>5</v>
      </c>
      <c r="T4" s="7" t="s">
        <v>4</v>
      </c>
      <c r="U4" s="38" t="s">
        <v>5</v>
      </c>
      <c r="V4" s="7" t="s">
        <v>4</v>
      </c>
      <c r="W4" s="38" t="s">
        <v>5</v>
      </c>
      <c r="X4" s="7" t="s">
        <v>4</v>
      </c>
      <c r="Y4" s="38" t="s">
        <v>5</v>
      </c>
      <c r="Z4" s="7" t="s">
        <v>4</v>
      </c>
      <c r="AA4" s="38" t="s">
        <v>5</v>
      </c>
      <c r="AB4" s="44" t="s">
        <v>4</v>
      </c>
      <c r="AC4" s="8" t="s">
        <v>5</v>
      </c>
    </row>
    <row r="5" spans="1:29" s="325" customFormat="1" x14ac:dyDescent="0.35">
      <c r="A5" s="72" t="s">
        <v>182</v>
      </c>
      <c r="B5" s="68">
        <v>2</v>
      </c>
      <c r="C5" s="35">
        <f t="shared" ref="C5:C11" si="0">B5/$B$11</f>
        <v>0.10526315789473684</v>
      </c>
      <c r="D5" s="68">
        <v>1</v>
      </c>
      <c r="E5" s="259">
        <f t="shared" ref="E5:E11" si="1">D5/$D$11</f>
        <v>1.2500000000000001E-2</v>
      </c>
      <c r="F5" s="68">
        <v>2</v>
      </c>
      <c r="G5" s="35">
        <f t="shared" ref="G5:G11" si="2">F5/$F$11</f>
        <v>0.08</v>
      </c>
      <c r="H5" s="68">
        <v>0</v>
      </c>
      <c r="I5" s="35">
        <f t="shared" ref="I5:I11" si="3">H5/$H$11</f>
        <v>0</v>
      </c>
      <c r="J5" s="68">
        <v>2</v>
      </c>
      <c r="K5" s="35">
        <f t="shared" ref="K5:K11" si="4">J5/$J$11</f>
        <v>3.4482758620689655E-2</v>
      </c>
      <c r="L5" s="68">
        <v>3</v>
      </c>
      <c r="M5" s="314">
        <f t="shared" ref="M5:M11" si="5">L5/$L$11</f>
        <v>5.4545454545454543E-2</v>
      </c>
      <c r="N5" s="394">
        <v>0</v>
      </c>
      <c r="O5" s="314">
        <f t="shared" ref="O5:O11" si="6">N5/$L$11</f>
        <v>0</v>
      </c>
      <c r="P5" s="394">
        <v>1</v>
      </c>
      <c r="Q5" s="314">
        <f t="shared" ref="Q5:Q11" si="7">P5/$L$11</f>
        <v>1.8181818181818181E-2</v>
      </c>
      <c r="R5" s="394">
        <v>14</v>
      </c>
      <c r="S5" s="314">
        <f t="shared" ref="S5:S11" si="8">R5/$L$11</f>
        <v>0.25454545454545452</v>
      </c>
      <c r="T5" s="394">
        <v>3</v>
      </c>
      <c r="U5" s="314">
        <f t="shared" ref="U5:U11" si="9">T5/$L$11</f>
        <v>5.4545454545454543E-2</v>
      </c>
      <c r="V5" s="394">
        <v>32</v>
      </c>
      <c r="W5" s="314">
        <f t="shared" ref="W5:W11" si="10">V5/$L$11</f>
        <v>0.58181818181818179</v>
      </c>
      <c r="X5" s="394">
        <v>0</v>
      </c>
      <c r="Y5" s="314">
        <f t="shared" ref="Y5:Y11" si="11">X5/$L$11</f>
        <v>0</v>
      </c>
      <c r="Z5" s="394">
        <v>7</v>
      </c>
      <c r="AA5" s="314">
        <f t="shared" ref="AA5:AA11" si="12">Z5/$L$11</f>
        <v>0.12727272727272726</v>
      </c>
      <c r="AB5" s="315">
        <f>B5+D5+F5+H5+J5+L5+N5+P5+R5+T5+V5+X5+Z5</f>
        <v>67</v>
      </c>
      <c r="AC5" s="59">
        <f t="shared" ref="AC5:AC11" si="13">AB5/$AB$11</f>
        <v>6.5880039331366769E-2</v>
      </c>
    </row>
    <row r="6" spans="1:29" s="325" customFormat="1" x14ac:dyDescent="0.35">
      <c r="A6" s="72" t="s">
        <v>183</v>
      </c>
      <c r="B6" s="68">
        <v>2</v>
      </c>
      <c r="C6" s="35">
        <f t="shared" si="0"/>
        <v>0.10526315789473684</v>
      </c>
      <c r="D6" s="68">
        <v>8</v>
      </c>
      <c r="E6" s="259">
        <f t="shared" si="1"/>
        <v>0.1</v>
      </c>
      <c r="F6" s="68">
        <v>4</v>
      </c>
      <c r="G6" s="35">
        <f t="shared" si="2"/>
        <v>0.16</v>
      </c>
      <c r="H6" s="68">
        <v>1</v>
      </c>
      <c r="I6" s="35">
        <f t="shared" si="3"/>
        <v>8.3333333333333329E-2</v>
      </c>
      <c r="J6" s="68">
        <v>6</v>
      </c>
      <c r="K6" s="35">
        <f t="shared" si="4"/>
        <v>0.10344827586206896</v>
      </c>
      <c r="L6" s="68">
        <v>21</v>
      </c>
      <c r="M6" s="314">
        <f t="shared" si="5"/>
        <v>0.38181818181818183</v>
      </c>
      <c r="N6" s="395">
        <v>0</v>
      </c>
      <c r="O6" s="314">
        <f t="shared" si="6"/>
        <v>0</v>
      </c>
      <c r="P6" s="395">
        <v>9</v>
      </c>
      <c r="Q6" s="314">
        <f t="shared" si="7"/>
        <v>0.16363636363636364</v>
      </c>
      <c r="R6" s="395">
        <v>27</v>
      </c>
      <c r="S6" s="314">
        <f t="shared" si="8"/>
        <v>0.49090909090909091</v>
      </c>
      <c r="T6" s="395">
        <v>18</v>
      </c>
      <c r="U6" s="314">
        <f t="shared" si="9"/>
        <v>0.32727272727272727</v>
      </c>
      <c r="V6" s="395">
        <v>110</v>
      </c>
      <c r="W6" s="314">
        <f t="shared" si="10"/>
        <v>2</v>
      </c>
      <c r="X6" s="395">
        <v>0</v>
      </c>
      <c r="Y6" s="314">
        <f t="shared" si="11"/>
        <v>0</v>
      </c>
      <c r="Z6" s="395">
        <v>53</v>
      </c>
      <c r="AA6" s="314">
        <f t="shared" si="12"/>
        <v>0.96363636363636362</v>
      </c>
      <c r="AB6" s="315">
        <f t="shared" ref="AB6:AB11" si="14">B6+D6+F6+H6+J6+L6+N6+P6+R6+T6+V6+X6+Z6</f>
        <v>259</v>
      </c>
      <c r="AC6" s="59">
        <f t="shared" si="13"/>
        <v>0.25467059980334317</v>
      </c>
    </row>
    <row r="7" spans="1:29" s="325" customFormat="1" x14ac:dyDescent="0.35">
      <c r="A7" s="73" t="s">
        <v>184</v>
      </c>
      <c r="B7" s="68">
        <v>5</v>
      </c>
      <c r="C7" s="35">
        <f t="shared" si="0"/>
        <v>0.26315789473684209</v>
      </c>
      <c r="D7" s="68">
        <v>20</v>
      </c>
      <c r="E7" s="259">
        <f t="shared" si="1"/>
        <v>0.25</v>
      </c>
      <c r="F7" s="68">
        <v>10</v>
      </c>
      <c r="G7" s="35">
        <f t="shared" si="2"/>
        <v>0.4</v>
      </c>
      <c r="H7" s="68">
        <v>5</v>
      </c>
      <c r="I7" s="35">
        <f t="shared" si="3"/>
        <v>0.41666666666666669</v>
      </c>
      <c r="J7" s="68">
        <v>11</v>
      </c>
      <c r="K7" s="35">
        <f t="shared" si="4"/>
        <v>0.18965517241379309</v>
      </c>
      <c r="L7" s="68">
        <v>17</v>
      </c>
      <c r="M7" s="314">
        <f t="shared" si="5"/>
        <v>0.30909090909090908</v>
      </c>
      <c r="N7" s="395">
        <v>0</v>
      </c>
      <c r="O7" s="314">
        <f t="shared" si="6"/>
        <v>0</v>
      </c>
      <c r="P7" s="395">
        <v>16</v>
      </c>
      <c r="Q7" s="314">
        <f t="shared" si="7"/>
        <v>0.29090909090909089</v>
      </c>
      <c r="R7" s="395">
        <v>45</v>
      </c>
      <c r="S7" s="314">
        <f t="shared" si="8"/>
        <v>0.81818181818181823</v>
      </c>
      <c r="T7" s="395">
        <v>32</v>
      </c>
      <c r="U7" s="314">
        <f t="shared" si="9"/>
        <v>0.58181818181818179</v>
      </c>
      <c r="V7" s="395">
        <v>89</v>
      </c>
      <c r="W7" s="314">
        <f t="shared" si="10"/>
        <v>1.6181818181818182</v>
      </c>
      <c r="X7" s="395">
        <v>0</v>
      </c>
      <c r="Y7" s="314">
        <f t="shared" si="11"/>
        <v>0</v>
      </c>
      <c r="Z7" s="395">
        <v>72</v>
      </c>
      <c r="AA7" s="314">
        <f t="shared" si="12"/>
        <v>1.3090909090909091</v>
      </c>
      <c r="AB7" s="315">
        <f t="shared" si="14"/>
        <v>322</v>
      </c>
      <c r="AC7" s="59">
        <f t="shared" si="13"/>
        <v>0.31661750245821041</v>
      </c>
    </row>
    <row r="8" spans="1:29" s="325" customFormat="1" x14ac:dyDescent="0.35">
      <c r="A8" s="73" t="s">
        <v>185</v>
      </c>
      <c r="B8" s="68">
        <v>5</v>
      </c>
      <c r="C8" s="35">
        <f t="shared" si="0"/>
        <v>0.26315789473684209</v>
      </c>
      <c r="D8" s="68">
        <v>15</v>
      </c>
      <c r="E8" s="259">
        <f t="shared" si="1"/>
        <v>0.1875</v>
      </c>
      <c r="F8" s="68">
        <v>3</v>
      </c>
      <c r="G8" s="35">
        <f t="shared" si="2"/>
        <v>0.12</v>
      </c>
      <c r="H8" s="68">
        <v>4</v>
      </c>
      <c r="I8" s="35">
        <f t="shared" si="3"/>
        <v>0.33333333333333331</v>
      </c>
      <c r="J8" s="68">
        <v>9</v>
      </c>
      <c r="K8" s="35">
        <f t="shared" si="4"/>
        <v>0.15517241379310345</v>
      </c>
      <c r="L8" s="68">
        <v>7</v>
      </c>
      <c r="M8" s="314">
        <f t="shared" si="5"/>
        <v>0.12727272727272726</v>
      </c>
      <c r="N8" s="395">
        <v>0</v>
      </c>
      <c r="O8" s="314">
        <f t="shared" si="6"/>
        <v>0</v>
      </c>
      <c r="P8" s="395">
        <v>9</v>
      </c>
      <c r="Q8" s="314">
        <f t="shared" si="7"/>
        <v>0.16363636363636364</v>
      </c>
      <c r="R8" s="395">
        <v>22</v>
      </c>
      <c r="S8" s="314">
        <f t="shared" si="8"/>
        <v>0.4</v>
      </c>
      <c r="T8" s="395">
        <v>14</v>
      </c>
      <c r="U8" s="314">
        <f t="shared" si="9"/>
        <v>0.25454545454545452</v>
      </c>
      <c r="V8" s="395">
        <v>56</v>
      </c>
      <c r="W8" s="314">
        <f t="shared" si="10"/>
        <v>1.0181818181818181</v>
      </c>
      <c r="X8" s="395">
        <v>2</v>
      </c>
      <c r="Y8" s="314">
        <f t="shared" si="11"/>
        <v>3.6363636363636362E-2</v>
      </c>
      <c r="Z8" s="395">
        <v>41</v>
      </c>
      <c r="AA8" s="314">
        <f t="shared" si="12"/>
        <v>0.74545454545454548</v>
      </c>
      <c r="AB8" s="315">
        <f t="shared" si="14"/>
        <v>187</v>
      </c>
      <c r="AC8" s="59">
        <f t="shared" si="13"/>
        <v>0.18387413962635202</v>
      </c>
    </row>
    <row r="9" spans="1:29" s="325" customFormat="1" x14ac:dyDescent="0.35">
      <c r="A9" s="73" t="s">
        <v>186</v>
      </c>
      <c r="B9" s="68">
        <v>4</v>
      </c>
      <c r="C9" s="35">
        <f t="shared" si="0"/>
        <v>0.21052631578947367</v>
      </c>
      <c r="D9" s="68">
        <v>32</v>
      </c>
      <c r="E9" s="259">
        <f t="shared" si="1"/>
        <v>0.4</v>
      </c>
      <c r="F9" s="68">
        <v>5</v>
      </c>
      <c r="G9" s="35">
        <f t="shared" si="2"/>
        <v>0.2</v>
      </c>
      <c r="H9" s="68">
        <v>1</v>
      </c>
      <c r="I9" s="35">
        <f t="shared" si="3"/>
        <v>8.3333333333333329E-2</v>
      </c>
      <c r="J9" s="68">
        <v>25</v>
      </c>
      <c r="K9" s="35">
        <f t="shared" si="4"/>
        <v>0.43103448275862066</v>
      </c>
      <c r="L9" s="68">
        <v>6</v>
      </c>
      <c r="M9" s="314">
        <f t="shared" si="5"/>
        <v>0.10909090909090909</v>
      </c>
      <c r="N9" s="395">
        <v>0</v>
      </c>
      <c r="O9" s="314">
        <f t="shared" si="6"/>
        <v>0</v>
      </c>
      <c r="P9" s="395">
        <v>6</v>
      </c>
      <c r="Q9" s="314">
        <f t="shared" si="7"/>
        <v>0.10909090909090909</v>
      </c>
      <c r="R9" s="395">
        <v>17</v>
      </c>
      <c r="S9" s="314">
        <f t="shared" si="8"/>
        <v>0.30909090909090908</v>
      </c>
      <c r="T9" s="395">
        <v>10</v>
      </c>
      <c r="U9" s="314">
        <f t="shared" si="9"/>
        <v>0.18181818181818182</v>
      </c>
      <c r="V9" s="395">
        <v>50</v>
      </c>
      <c r="W9" s="314">
        <f t="shared" si="10"/>
        <v>0.90909090909090906</v>
      </c>
      <c r="X9" s="395">
        <v>0</v>
      </c>
      <c r="Y9" s="314">
        <f t="shared" si="11"/>
        <v>0</v>
      </c>
      <c r="Z9" s="395">
        <v>9</v>
      </c>
      <c r="AA9" s="314">
        <f t="shared" si="12"/>
        <v>0.16363636363636364</v>
      </c>
      <c r="AB9" s="315">
        <f t="shared" si="14"/>
        <v>165</v>
      </c>
      <c r="AC9" s="59">
        <f t="shared" si="13"/>
        <v>0.16224188790560473</v>
      </c>
    </row>
    <row r="10" spans="1:29" s="325" customFormat="1" ht="15" thickBot="1" x14ac:dyDescent="0.4">
      <c r="A10" s="73" t="s">
        <v>187</v>
      </c>
      <c r="B10" s="68">
        <v>1</v>
      </c>
      <c r="C10" s="35">
        <f t="shared" si="0"/>
        <v>5.2631578947368418E-2</v>
      </c>
      <c r="D10" s="68">
        <v>4</v>
      </c>
      <c r="E10" s="259">
        <f t="shared" si="1"/>
        <v>0.05</v>
      </c>
      <c r="F10" s="68">
        <v>1</v>
      </c>
      <c r="G10" s="35">
        <f t="shared" si="2"/>
        <v>0.04</v>
      </c>
      <c r="H10" s="68">
        <v>1</v>
      </c>
      <c r="I10" s="35">
        <f t="shared" si="3"/>
        <v>8.3333333333333329E-2</v>
      </c>
      <c r="J10" s="68">
        <v>5</v>
      </c>
      <c r="K10" s="35">
        <f t="shared" si="4"/>
        <v>8.6206896551724144E-2</v>
      </c>
      <c r="L10" s="68">
        <v>1</v>
      </c>
      <c r="M10" s="314">
        <f t="shared" si="5"/>
        <v>1.8181818181818181E-2</v>
      </c>
      <c r="N10" s="396">
        <v>0</v>
      </c>
      <c r="O10" s="314">
        <f t="shared" si="6"/>
        <v>0</v>
      </c>
      <c r="P10" s="396">
        <v>0</v>
      </c>
      <c r="Q10" s="314">
        <f t="shared" si="7"/>
        <v>0</v>
      </c>
      <c r="R10" s="396">
        <v>1</v>
      </c>
      <c r="S10" s="314">
        <f t="shared" si="8"/>
        <v>1.8181818181818181E-2</v>
      </c>
      <c r="T10" s="396">
        <v>0</v>
      </c>
      <c r="U10" s="314">
        <f t="shared" si="9"/>
        <v>0</v>
      </c>
      <c r="V10" s="396">
        <v>3</v>
      </c>
      <c r="W10" s="314">
        <f t="shared" si="10"/>
        <v>5.4545454545454543E-2</v>
      </c>
      <c r="X10" s="396">
        <v>0</v>
      </c>
      <c r="Y10" s="314">
        <f t="shared" si="11"/>
        <v>0</v>
      </c>
      <c r="Z10" s="396">
        <v>0</v>
      </c>
      <c r="AA10" s="314">
        <f t="shared" si="12"/>
        <v>0</v>
      </c>
      <c r="AB10" s="391">
        <f t="shared" si="14"/>
        <v>17</v>
      </c>
      <c r="AC10" s="59">
        <f t="shared" si="13"/>
        <v>1.6715830875122909E-2</v>
      </c>
    </row>
    <row r="11" spans="1:29" s="325" customFormat="1" ht="15" thickBot="1" x14ac:dyDescent="0.4">
      <c r="A11" s="74" t="s">
        <v>2</v>
      </c>
      <c r="B11" s="22">
        <f>SUM(B5:B10)</f>
        <v>19</v>
      </c>
      <c r="C11" s="171">
        <f t="shared" si="0"/>
        <v>1</v>
      </c>
      <c r="D11" s="22">
        <f>SUM(D5:D10)</f>
        <v>80</v>
      </c>
      <c r="E11" s="171">
        <f t="shared" si="1"/>
        <v>1</v>
      </c>
      <c r="F11" s="22">
        <f>SUM(F5:F10)</f>
        <v>25</v>
      </c>
      <c r="G11" s="171">
        <f t="shared" si="2"/>
        <v>1</v>
      </c>
      <c r="H11" s="22">
        <f>SUM(H5:H10)</f>
        <v>12</v>
      </c>
      <c r="I11" s="171">
        <f t="shared" si="3"/>
        <v>1</v>
      </c>
      <c r="J11" s="22">
        <f>SUM(J5:J10)</f>
        <v>58</v>
      </c>
      <c r="K11" s="171">
        <f t="shared" si="4"/>
        <v>1</v>
      </c>
      <c r="L11" s="22">
        <f>SUM(L5:L10)</f>
        <v>55</v>
      </c>
      <c r="M11" s="316">
        <f t="shared" si="5"/>
        <v>1</v>
      </c>
      <c r="N11" s="22">
        <f>SUM(N5:N10)</f>
        <v>0</v>
      </c>
      <c r="O11" s="316">
        <f t="shared" si="6"/>
        <v>0</v>
      </c>
      <c r="P11" s="22">
        <f>SUM(P5:P10)</f>
        <v>41</v>
      </c>
      <c r="Q11" s="316">
        <f t="shared" si="7"/>
        <v>0.74545454545454548</v>
      </c>
      <c r="R11" s="22">
        <f>SUM(R5:R10)</f>
        <v>126</v>
      </c>
      <c r="S11" s="316">
        <f t="shared" si="8"/>
        <v>2.290909090909091</v>
      </c>
      <c r="T11" s="22">
        <f>SUM(T5:T10)</f>
        <v>77</v>
      </c>
      <c r="U11" s="316">
        <f t="shared" si="9"/>
        <v>1.4</v>
      </c>
      <c r="V11" s="22">
        <f>SUM(V5:V10)</f>
        <v>340</v>
      </c>
      <c r="W11" s="316">
        <f t="shared" si="10"/>
        <v>6.1818181818181817</v>
      </c>
      <c r="X11" s="22">
        <f>SUM(X5:X10)</f>
        <v>2</v>
      </c>
      <c r="Y11" s="316">
        <f t="shared" si="11"/>
        <v>3.6363636363636362E-2</v>
      </c>
      <c r="Z11" s="22">
        <f>SUM(Z5:Z10)</f>
        <v>182</v>
      </c>
      <c r="AA11" s="316">
        <f t="shared" si="12"/>
        <v>3.3090909090909091</v>
      </c>
      <c r="AB11" s="71">
        <f t="shared" si="14"/>
        <v>1017</v>
      </c>
      <c r="AC11" s="171">
        <f t="shared" si="13"/>
        <v>1</v>
      </c>
    </row>
    <row r="12" spans="1:29" s="325" customFormat="1" x14ac:dyDescent="0.35"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</row>
    <row r="13" spans="1:29" s="325" customFormat="1" x14ac:dyDescent="0.35">
      <c r="A13" s="9" t="s">
        <v>145</v>
      </c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</row>
    <row r="14" spans="1:29" s="325" customFormat="1" x14ac:dyDescent="0.35"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</row>
    <row r="15" spans="1:29" x14ac:dyDescent="0.35">
      <c r="A15" s="299"/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AB15" s="299"/>
      <c r="AC15" s="299"/>
    </row>
    <row r="16" spans="1:29" x14ac:dyDescent="0.35">
      <c r="A16" s="299"/>
      <c r="B16" s="299"/>
      <c r="C16" s="299"/>
      <c r="D16" s="299"/>
      <c r="E16" s="299"/>
      <c r="F16" s="299"/>
      <c r="G16" s="186"/>
      <c r="H16" s="299"/>
      <c r="I16" s="299"/>
      <c r="J16" s="299"/>
      <c r="K16" s="299"/>
      <c r="L16" s="299"/>
      <c r="M16" s="299"/>
      <c r="AB16" s="299"/>
      <c r="AC16" s="299"/>
    </row>
    <row r="17" spans="1:29" x14ac:dyDescent="0.35">
      <c r="A17" s="299"/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AB17" s="299"/>
      <c r="AC17" s="299"/>
    </row>
  </sheetData>
  <mergeCells count="15">
    <mergeCell ref="A1:E1"/>
    <mergeCell ref="AB3:AC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S24"/>
  <sheetViews>
    <sheetView workbookViewId="0">
      <selection sqref="A1:D1"/>
    </sheetView>
  </sheetViews>
  <sheetFormatPr defaultRowHeight="14.5" x14ac:dyDescent="0.35"/>
  <cols>
    <col min="1" max="1" width="37.7265625" customWidth="1"/>
    <col min="3" max="3" width="9.1796875" customWidth="1"/>
  </cols>
  <sheetData>
    <row r="1" spans="1:19" s="325" customFormat="1" x14ac:dyDescent="0.35">
      <c r="A1" s="445" t="s">
        <v>206</v>
      </c>
      <c r="B1" s="445"/>
      <c r="C1" s="445"/>
      <c r="D1" s="445"/>
      <c r="E1" s="112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s="325" customFormat="1" ht="15" thickBot="1" x14ac:dyDescent="0.4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s="325" customFormat="1" ht="15" thickBot="1" x14ac:dyDescent="0.4">
      <c r="A3" s="85" t="s">
        <v>6</v>
      </c>
      <c r="B3" s="101" t="s">
        <v>52</v>
      </c>
      <c r="C3" s="102"/>
      <c r="D3" s="448" t="s">
        <v>26</v>
      </c>
      <c r="E3" s="449"/>
      <c r="F3" s="448" t="s">
        <v>27</v>
      </c>
      <c r="G3" s="449"/>
      <c r="H3" s="448" t="s">
        <v>40</v>
      </c>
      <c r="I3" s="449"/>
      <c r="J3" s="446" t="s">
        <v>93</v>
      </c>
      <c r="K3" s="447"/>
      <c r="L3" s="101" t="s">
        <v>2</v>
      </c>
      <c r="M3" s="102"/>
      <c r="N3" s="441" t="s">
        <v>150</v>
      </c>
      <c r="O3" s="416"/>
      <c r="P3" s="420" t="s">
        <v>49</v>
      </c>
      <c r="Q3" s="421"/>
      <c r="R3" s="109" t="s">
        <v>2</v>
      </c>
      <c r="S3" s="102"/>
    </row>
    <row r="4" spans="1:19" s="325" customFormat="1" ht="29.5" thickBot="1" x14ac:dyDescent="0.4">
      <c r="A4" s="86" t="s">
        <v>1</v>
      </c>
      <c r="B4" s="105" t="s">
        <v>47</v>
      </c>
      <c r="C4" s="106" t="s">
        <v>48</v>
      </c>
      <c r="D4" s="105" t="s">
        <v>47</v>
      </c>
      <c r="E4" s="106" t="s">
        <v>48</v>
      </c>
      <c r="F4" s="105" t="s">
        <v>47</v>
      </c>
      <c r="G4" s="106" t="s">
        <v>48</v>
      </c>
      <c r="H4" s="105" t="s">
        <v>47</v>
      </c>
      <c r="I4" s="106" t="s">
        <v>48</v>
      </c>
      <c r="J4" s="107" t="s">
        <v>47</v>
      </c>
      <c r="K4" s="108" t="s">
        <v>48</v>
      </c>
      <c r="L4" s="105" t="s">
        <v>47</v>
      </c>
      <c r="M4" s="106" t="s">
        <v>48</v>
      </c>
      <c r="N4" s="133" t="s">
        <v>47</v>
      </c>
      <c r="O4" s="134" t="s">
        <v>48</v>
      </c>
      <c r="P4" s="99" t="s">
        <v>4</v>
      </c>
      <c r="Q4" s="300" t="s">
        <v>39</v>
      </c>
      <c r="R4" s="110" t="s">
        <v>47</v>
      </c>
      <c r="S4" s="111" t="s">
        <v>48</v>
      </c>
    </row>
    <row r="5" spans="1:19" s="325" customFormat="1" x14ac:dyDescent="0.35">
      <c r="A5" s="87" t="s">
        <v>7</v>
      </c>
      <c r="B5" s="103">
        <v>0</v>
      </c>
      <c r="C5" s="89" t="e">
        <f>B5/$B$22</f>
        <v>#DIV/0!</v>
      </c>
      <c r="D5" s="103">
        <v>0</v>
      </c>
      <c r="E5" s="89">
        <f t="shared" ref="E5:E21" si="0">D5/$D$22</f>
        <v>0</v>
      </c>
      <c r="F5" s="103">
        <v>0</v>
      </c>
      <c r="G5" s="89">
        <f t="shared" ref="G5:G21" si="1">F5/$F$22</f>
        <v>0</v>
      </c>
      <c r="H5" s="103">
        <v>0</v>
      </c>
      <c r="I5" s="89">
        <f t="shared" ref="I5:I21" si="2">H5/$H$22</f>
        <v>0</v>
      </c>
      <c r="J5" s="103">
        <v>0</v>
      </c>
      <c r="K5" s="104">
        <f t="shared" ref="K5:K21" si="3">J5/$J$22</f>
        <v>0</v>
      </c>
      <c r="L5" s="103">
        <f>B5+D5+F5+H5+J5</f>
        <v>0</v>
      </c>
      <c r="M5" s="89">
        <f t="shared" ref="M5:M21" si="4">L5/$L$22</f>
        <v>0</v>
      </c>
      <c r="N5" s="88">
        <v>0</v>
      </c>
      <c r="O5" s="89">
        <v>0</v>
      </c>
      <c r="P5" s="342">
        <v>0</v>
      </c>
      <c r="Q5" s="89">
        <v>0</v>
      </c>
      <c r="R5" s="343">
        <f>L5+N5+P5</f>
        <v>0</v>
      </c>
      <c r="S5" s="89">
        <f>R5/$R$22</f>
        <v>0</v>
      </c>
    </row>
    <row r="6" spans="1:19" s="325" customFormat="1" x14ac:dyDescent="0.35">
      <c r="A6" s="138" t="s">
        <v>8</v>
      </c>
      <c r="B6" s="103">
        <v>0</v>
      </c>
      <c r="C6" s="89" t="e">
        <f t="shared" ref="C6:C21" si="5">B6/$B$22</f>
        <v>#DIV/0!</v>
      </c>
      <c r="D6" s="103">
        <v>0</v>
      </c>
      <c r="E6" s="89">
        <f t="shared" si="0"/>
        <v>0</v>
      </c>
      <c r="F6" s="103">
        <v>1</v>
      </c>
      <c r="G6" s="89">
        <f t="shared" si="1"/>
        <v>1.4705882352941176E-2</v>
      </c>
      <c r="H6" s="103">
        <v>1</v>
      </c>
      <c r="I6" s="89">
        <f t="shared" si="2"/>
        <v>3.2258064516129031E-2</v>
      </c>
      <c r="J6" s="103">
        <v>1</v>
      </c>
      <c r="K6" s="104">
        <f t="shared" si="3"/>
        <v>8.3333333333333329E-2</v>
      </c>
      <c r="L6" s="103">
        <f t="shared" ref="L6:L21" si="6">B6+D6+F6+H6+J6</f>
        <v>3</v>
      </c>
      <c r="M6" s="89">
        <f t="shared" si="4"/>
        <v>2.5210084033613446E-2</v>
      </c>
      <c r="N6" s="88">
        <v>0</v>
      </c>
      <c r="O6" s="89">
        <v>0</v>
      </c>
      <c r="P6" s="342">
        <v>0</v>
      </c>
      <c r="Q6" s="89">
        <v>0</v>
      </c>
      <c r="R6" s="343">
        <f t="shared" ref="R6:R21" si="7">L6+N6+P6</f>
        <v>3</v>
      </c>
      <c r="S6" s="89">
        <f t="shared" ref="S6:S22" si="8">R6/$R$22</f>
        <v>2.5210084033613446E-2</v>
      </c>
    </row>
    <row r="7" spans="1:19" s="325" customFormat="1" x14ac:dyDescent="0.35">
      <c r="A7" s="138" t="s">
        <v>9</v>
      </c>
      <c r="B7" s="103">
        <v>0</v>
      </c>
      <c r="C7" s="89" t="e">
        <f t="shared" si="5"/>
        <v>#DIV/0!</v>
      </c>
      <c r="D7" s="103">
        <v>0</v>
      </c>
      <c r="E7" s="89">
        <f t="shared" si="0"/>
        <v>0</v>
      </c>
      <c r="F7" s="103">
        <v>2</v>
      </c>
      <c r="G7" s="89">
        <f t="shared" si="1"/>
        <v>2.9411764705882353E-2</v>
      </c>
      <c r="H7" s="103">
        <v>0</v>
      </c>
      <c r="I7" s="89">
        <f t="shared" si="2"/>
        <v>0</v>
      </c>
      <c r="J7" s="103">
        <v>0</v>
      </c>
      <c r="K7" s="104">
        <f t="shared" si="3"/>
        <v>0</v>
      </c>
      <c r="L7" s="103">
        <f t="shared" si="6"/>
        <v>2</v>
      </c>
      <c r="M7" s="89">
        <f t="shared" si="4"/>
        <v>1.680672268907563E-2</v>
      </c>
      <c r="N7" s="88">
        <v>0</v>
      </c>
      <c r="O7" s="89">
        <v>0</v>
      </c>
      <c r="P7" s="342">
        <v>0</v>
      </c>
      <c r="Q7" s="89">
        <v>0</v>
      </c>
      <c r="R7" s="343">
        <f t="shared" si="7"/>
        <v>2</v>
      </c>
      <c r="S7" s="89">
        <f t="shared" si="8"/>
        <v>1.680672268907563E-2</v>
      </c>
    </row>
    <row r="8" spans="1:19" s="325" customFormat="1" x14ac:dyDescent="0.35">
      <c r="A8" s="138" t="s">
        <v>10</v>
      </c>
      <c r="B8" s="103">
        <v>0</v>
      </c>
      <c r="C8" s="89" t="e">
        <f t="shared" si="5"/>
        <v>#DIV/0!</v>
      </c>
      <c r="D8" s="103">
        <v>0</v>
      </c>
      <c r="E8" s="89">
        <f t="shared" si="0"/>
        <v>0</v>
      </c>
      <c r="F8" s="103">
        <v>1</v>
      </c>
      <c r="G8" s="89">
        <f t="shared" si="1"/>
        <v>1.4705882352941176E-2</v>
      </c>
      <c r="H8" s="103">
        <v>0</v>
      </c>
      <c r="I8" s="89">
        <f t="shared" si="2"/>
        <v>0</v>
      </c>
      <c r="J8" s="103">
        <v>0</v>
      </c>
      <c r="K8" s="104">
        <f t="shared" si="3"/>
        <v>0</v>
      </c>
      <c r="L8" s="103">
        <f t="shared" si="6"/>
        <v>1</v>
      </c>
      <c r="M8" s="89">
        <f t="shared" si="4"/>
        <v>8.4033613445378148E-3</v>
      </c>
      <c r="N8" s="88">
        <v>0</v>
      </c>
      <c r="O8" s="89">
        <v>0</v>
      </c>
      <c r="P8" s="342">
        <v>0</v>
      </c>
      <c r="Q8" s="89">
        <v>0</v>
      </c>
      <c r="R8" s="343">
        <f t="shared" si="7"/>
        <v>1</v>
      </c>
      <c r="S8" s="89">
        <f t="shared" si="8"/>
        <v>8.4033613445378148E-3</v>
      </c>
    </row>
    <row r="9" spans="1:19" s="325" customFormat="1" x14ac:dyDescent="0.35">
      <c r="A9" s="138" t="s">
        <v>11</v>
      </c>
      <c r="B9" s="103">
        <v>0</v>
      </c>
      <c r="C9" s="89" t="e">
        <f t="shared" si="5"/>
        <v>#DIV/0!</v>
      </c>
      <c r="D9" s="103">
        <v>0</v>
      </c>
      <c r="E9" s="89">
        <f t="shared" si="0"/>
        <v>0</v>
      </c>
      <c r="F9" s="103">
        <v>2</v>
      </c>
      <c r="G9" s="89">
        <f t="shared" si="1"/>
        <v>2.9411764705882353E-2</v>
      </c>
      <c r="H9" s="103">
        <v>3</v>
      </c>
      <c r="I9" s="89">
        <f t="shared" si="2"/>
        <v>9.6774193548387094E-2</v>
      </c>
      <c r="J9" s="103">
        <v>0</v>
      </c>
      <c r="K9" s="104">
        <f t="shared" si="3"/>
        <v>0</v>
      </c>
      <c r="L9" s="103">
        <f t="shared" si="6"/>
        <v>5</v>
      </c>
      <c r="M9" s="89">
        <f t="shared" si="4"/>
        <v>4.2016806722689079E-2</v>
      </c>
      <c r="N9" s="88">
        <v>0</v>
      </c>
      <c r="O9" s="89">
        <v>0</v>
      </c>
      <c r="P9" s="342">
        <v>0</v>
      </c>
      <c r="Q9" s="89">
        <v>0</v>
      </c>
      <c r="R9" s="343">
        <f t="shared" si="7"/>
        <v>5</v>
      </c>
      <c r="S9" s="89">
        <f t="shared" si="8"/>
        <v>4.2016806722689079E-2</v>
      </c>
    </row>
    <row r="10" spans="1:19" s="325" customFormat="1" x14ac:dyDescent="0.35">
      <c r="A10" s="138" t="s">
        <v>12</v>
      </c>
      <c r="B10" s="103">
        <v>0</v>
      </c>
      <c r="C10" s="89" t="e">
        <f t="shared" si="5"/>
        <v>#DIV/0!</v>
      </c>
      <c r="D10" s="103">
        <v>0</v>
      </c>
      <c r="E10" s="89">
        <f t="shared" si="0"/>
        <v>0</v>
      </c>
      <c r="F10" s="103">
        <v>1</v>
      </c>
      <c r="G10" s="89">
        <f t="shared" si="1"/>
        <v>1.4705882352941176E-2</v>
      </c>
      <c r="H10" s="103">
        <v>0</v>
      </c>
      <c r="I10" s="89">
        <f t="shared" si="2"/>
        <v>0</v>
      </c>
      <c r="J10" s="103">
        <v>0</v>
      </c>
      <c r="K10" s="104">
        <f t="shared" si="3"/>
        <v>0</v>
      </c>
      <c r="L10" s="103">
        <f t="shared" si="6"/>
        <v>1</v>
      </c>
      <c r="M10" s="89">
        <f t="shared" si="4"/>
        <v>8.4033613445378148E-3</v>
      </c>
      <c r="N10" s="88">
        <v>0</v>
      </c>
      <c r="O10" s="89">
        <v>0</v>
      </c>
      <c r="P10" s="342">
        <v>0</v>
      </c>
      <c r="Q10" s="89">
        <v>0</v>
      </c>
      <c r="R10" s="343">
        <f t="shared" si="7"/>
        <v>1</v>
      </c>
      <c r="S10" s="89">
        <f t="shared" si="8"/>
        <v>8.4033613445378148E-3</v>
      </c>
    </row>
    <row r="11" spans="1:19" s="325" customFormat="1" x14ac:dyDescent="0.35">
      <c r="A11" s="138" t="s">
        <v>13</v>
      </c>
      <c r="B11" s="103">
        <v>0</v>
      </c>
      <c r="C11" s="89" t="e">
        <f t="shared" si="5"/>
        <v>#DIV/0!</v>
      </c>
      <c r="D11" s="103">
        <v>0</v>
      </c>
      <c r="E11" s="89">
        <f t="shared" si="0"/>
        <v>0</v>
      </c>
      <c r="F11" s="103">
        <v>0</v>
      </c>
      <c r="G11" s="89">
        <f t="shared" si="1"/>
        <v>0</v>
      </c>
      <c r="H11" s="103">
        <v>1</v>
      </c>
      <c r="I11" s="89">
        <f t="shared" si="2"/>
        <v>3.2258064516129031E-2</v>
      </c>
      <c r="J11" s="103">
        <v>0</v>
      </c>
      <c r="K11" s="104">
        <f t="shared" si="3"/>
        <v>0</v>
      </c>
      <c r="L11" s="103">
        <f t="shared" si="6"/>
        <v>1</v>
      </c>
      <c r="M11" s="89">
        <f t="shared" si="4"/>
        <v>8.4033613445378148E-3</v>
      </c>
      <c r="N11" s="88">
        <v>0</v>
      </c>
      <c r="O11" s="89">
        <v>0</v>
      </c>
      <c r="P11" s="342">
        <v>0</v>
      </c>
      <c r="Q11" s="89">
        <v>0</v>
      </c>
      <c r="R11" s="343">
        <f t="shared" si="7"/>
        <v>1</v>
      </c>
      <c r="S11" s="89">
        <f t="shared" si="8"/>
        <v>8.4033613445378148E-3</v>
      </c>
    </row>
    <row r="12" spans="1:19" s="325" customFormat="1" ht="29" x14ac:dyDescent="0.35">
      <c r="A12" s="360" t="s">
        <v>53</v>
      </c>
      <c r="B12" s="103">
        <v>0</v>
      </c>
      <c r="C12" s="89" t="e">
        <f t="shared" si="5"/>
        <v>#DIV/0!</v>
      </c>
      <c r="D12" s="103">
        <v>0</v>
      </c>
      <c r="E12" s="89">
        <f t="shared" si="0"/>
        <v>0</v>
      </c>
      <c r="F12" s="103">
        <v>0</v>
      </c>
      <c r="G12" s="89">
        <f t="shared" si="1"/>
        <v>0</v>
      </c>
      <c r="H12" s="103">
        <v>0</v>
      </c>
      <c r="I12" s="89">
        <f t="shared" si="2"/>
        <v>0</v>
      </c>
      <c r="J12" s="103">
        <v>0</v>
      </c>
      <c r="K12" s="104">
        <f t="shared" si="3"/>
        <v>0</v>
      </c>
      <c r="L12" s="103">
        <f t="shared" si="6"/>
        <v>0</v>
      </c>
      <c r="M12" s="89">
        <f t="shared" si="4"/>
        <v>0</v>
      </c>
      <c r="N12" s="88">
        <v>0</v>
      </c>
      <c r="O12" s="89">
        <v>0</v>
      </c>
      <c r="P12" s="342">
        <v>0</v>
      </c>
      <c r="Q12" s="89">
        <v>0</v>
      </c>
      <c r="R12" s="343">
        <f t="shared" si="7"/>
        <v>0</v>
      </c>
      <c r="S12" s="89">
        <f t="shared" si="8"/>
        <v>0</v>
      </c>
    </row>
    <row r="13" spans="1:19" s="137" customFormat="1" x14ac:dyDescent="0.35">
      <c r="A13" s="361" t="s">
        <v>14</v>
      </c>
      <c r="B13" s="103">
        <v>0</v>
      </c>
      <c r="C13" s="89" t="e">
        <f t="shared" si="5"/>
        <v>#DIV/0!</v>
      </c>
      <c r="D13" s="103">
        <v>0</v>
      </c>
      <c r="E13" s="89">
        <f t="shared" si="0"/>
        <v>0</v>
      </c>
      <c r="F13" s="103">
        <v>0</v>
      </c>
      <c r="G13" s="89">
        <f t="shared" si="1"/>
        <v>0</v>
      </c>
      <c r="H13" s="103">
        <v>0</v>
      </c>
      <c r="I13" s="89">
        <f t="shared" si="2"/>
        <v>0</v>
      </c>
      <c r="J13" s="103">
        <v>0</v>
      </c>
      <c r="K13" s="104">
        <f t="shared" si="3"/>
        <v>0</v>
      </c>
      <c r="L13" s="103">
        <f>B13+D13+F13+H13+J13</f>
        <v>0</v>
      </c>
      <c r="M13" s="89">
        <f t="shared" si="4"/>
        <v>0</v>
      </c>
      <c r="N13" s="88">
        <v>0</v>
      </c>
      <c r="O13" s="89">
        <v>0</v>
      </c>
      <c r="P13" s="342">
        <v>0</v>
      </c>
      <c r="Q13" s="89">
        <v>0</v>
      </c>
      <c r="R13" s="343">
        <f t="shared" si="7"/>
        <v>0</v>
      </c>
      <c r="S13" s="89">
        <f t="shared" si="8"/>
        <v>0</v>
      </c>
    </row>
    <row r="14" spans="1:19" s="325" customFormat="1" x14ac:dyDescent="0.35">
      <c r="A14" s="360" t="s">
        <v>15</v>
      </c>
      <c r="B14" s="103">
        <v>0</v>
      </c>
      <c r="C14" s="89" t="e">
        <f t="shared" si="5"/>
        <v>#DIV/0!</v>
      </c>
      <c r="D14" s="103">
        <v>0</v>
      </c>
      <c r="E14" s="89">
        <f t="shared" si="0"/>
        <v>0</v>
      </c>
      <c r="F14" s="103">
        <v>1</v>
      </c>
      <c r="G14" s="89">
        <f t="shared" si="1"/>
        <v>1.4705882352941176E-2</v>
      </c>
      <c r="H14" s="103">
        <v>1</v>
      </c>
      <c r="I14" s="89">
        <f t="shared" si="2"/>
        <v>3.2258064516129031E-2</v>
      </c>
      <c r="J14" s="103">
        <v>0</v>
      </c>
      <c r="K14" s="104">
        <f t="shared" si="3"/>
        <v>0</v>
      </c>
      <c r="L14" s="103">
        <f t="shared" si="6"/>
        <v>2</v>
      </c>
      <c r="M14" s="89">
        <f t="shared" si="4"/>
        <v>1.680672268907563E-2</v>
      </c>
      <c r="N14" s="88">
        <v>0</v>
      </c>
      <c r="O14" s="89">
        <v>0</v>
      </c>
      <c r="P14" s="342">
        <v>0</v>
      </c>
      <c r="Q14" s="89">
        <v>0</v>
      </c>
      <c r="R14" s="343">
        <f t="shared" si="7"/>
        <v>2</v>
      </c>
      <c r="S14" s="89">
        <f t="shared" si="8"/>
        <v>1.680672268907563E-2</v>
      </c>
    </row>
    <row r="15" spans="1:19" s="325" customFormat="1" x14ac:dyDescent="0.35">
      <c r="A15" s="138" t="s">
        <v>16</v>
      </c>
      <c r="B15" s="103">
        <v>0</v>
      </c>
      <c r="C15" s="89" t="e">
        <f t="shared" si="5"/>
        <v>#DIV/0!</v>
      </c>
      <c r="D15" s="103">
        <v>0</v>
      </c>
      <c r="E15" s="89">
        <f t="shared" si="0"/>
        <v>0</v>
      </c>
      <c r="F15" s="103">
        <v>2</v>
      </c>
      <c r="G15" s="89">
        <f t="shared" si="1"/>
        <v>2.9411764705882353E-2</v>
      </c>
      <c r="H15" s="103">
        <v>0</v>
      </c>
      <c r="I15" s="89">
        <f t="shared" si="2"/>
        <v>0</v>
      </c>
      <c r="J15" s="103">
        <v>0</v>
      </c>
      <c r="K15" s="104">
        <f t="shared" si="3"/>
        <v>0</v>
      </c>
      <c r="L15" s="103">
        <f t="shared" si="6"/>
        <v>2</v>
      </c>
      <c r="M15" s="89">
        <f t="shared" si="4"/>
        <v>1.680672268907563E-2</v>
      </c>
      <c r="N15" s="88">
        <v>0</v>
      </c>
      <c r="O15" s="89">
        <v>0</v>
      </c>
      <c r="P15" s="342">
        <v>0</v>
      </c>
      <c r="Q15" s="89">
        <v>0</v>
      </c>
      <c r="R15" s="343">
        <f t="shared" si="7"/>
        <v>2</v>
      </c>
      <c r="S15" s="89">
        <f t="shared" si="8"/>
        <v>1.680672268907563E-2</v>
      </c>
    </row>
    <row r="16" spans="1:19" s="325" customFormat="1" x14ac:dyDescent="0.35">
      <c r="A16" s="138" t="s">
        <v>17</v>
      </c>
      <c r="B16" s="103">
        <v>0</v>
      </c>
      <c r="C16" s="89" t="e">
        <f t="shared" si="5"/>
        <v>#DIV/0!</v>
      </c>
      <c r="D16" s="103">
        <v>0</v>
      </c>
      <c r="E16" s="89">
        <f t="shared" si="0"/>
        <v>0</v>
      </c>
      <c r="F16" s="103">
        <v>0</v>
      </c>
      <c r="G16" s="89">
        <f t="shared" si="1"/>
        <v>0</v>
      </c>
      <c r="H16" s="103">
        <v>0</v>
      </c>
      <c r="I16" s="89">
        <f t="shared" si="2"/>
        <v>0</v>
      </c>
      <c r="J16" s="103">
        <v>0</v>
      </c>
      <c r="K16" s="104">
        <f t="shared" si="3"/>
        <v>0</v>
      </c>
      <c r="L16" s="103">
        <f t="shared" si="6"/>
        <v>0</v>
      </c>
      <c r="M16" s="89">
        <f t="shared" si="4"/>
        <v>0</v>
      </c>
      <c r="N16" s="88">
        <v>0</v>
      </c>
      <c r="O16" s="89">
        <v>0</v>
      </c>
      <c r="P16" s="342">
        <v>0</v>
      </c>
      <c r="Q16" s="89">
        <v>0</v>
      </c>
      <c r="R16" s="343">
        <f t="shared" si="7"/>
        <v>0</v>
      </c>
      <c r="S16" s="89">
        <f t="shared" si="8"/>
        <v>0</v>
      </c>
    </row>
    <row r="17" spans="1:19" s="325" customFormat="1" x14ac:dyDescent="0.35">
      <c r="A17" s="138" t="s">
        <v>110</v>
      </c>
      <c r="B17" s="103">
        <v>0</v>
      </c>
      <c r="C17" s="89" t="e">
        <f t="shared" si="5"/>
        <v>#DIV/0!</v>
      </c>
      <c r="D17" s="103">
        <v>0</v>
      </c>
      <c r="E17" s="89">
        <f t="shared" si="0"/>
        <v>0</v>
      </c>
      <c r="F17" s="103">
        <v>1</v>
      </c>
      <c r="G17" s="89">
        <f t="shared" si="1"/>
        <v>1.4705882352941176E-2</v>
      </c>
      <c r="H17" s="103">
        <v>0</v>
      </c>
      <c r="I17" s="89">
        <f t="shared" si="2"/>
        <v>0</v>
      </c>
      <c r="J17" s="103">
        <v>0</v>
      </c>
      <c r="K17" s="104">
        <f t="shared" si="3"/>
        <v>0</v>
      </c>
      <c r="L17" s="103">
        <f t="shared" si="6"/>
        <v>1</v>
      </c>
      <c r="M17" s="89">
        <f t="shared" si="4"/>
        <v>8.4033613445378148E-3</v>
      </c>
      <c r="N17" s="88">
        <v>0</v>
      </c>
      <c r="O17" s="89">
        <v>0</v>
      </c>
      <c r="P17" s="342">
        <v>0</v>
      </c>
      <c r="Q17" s="89">
        <v>0</v>
      </c>
      <c r="R17" s="343">
        <f t="shared" si="7"/>
        <v>1</v>
      </c>
      <c r="S17" s="89">
        <f t="shared" si="8"/>
        <v>8.4033613445378148E-3</v>
      </c>
    </row>
    <row r="18" spans="1:19" s="325" customFormat="1" x14ac:dyDescent="0.35">
      <c r="A18" s="138" t="s">
        <v>24</v>
      </c>
      <c r="B18" s="103">
        <v>0</v>
      </c>
      <c r="C18" s="89" t="e">
        <f t="shared" si="5"/>
        <v>#DIV/0!</v>
      </c>
      <c r="D18" s="103">
        <v>8</v>
      </c>
      <c r="E18" s="89">
        <f t="shared" si="0"/>
        <v>1</v>
      </c>
      <c r="F18" s="103">
        <v>51</v>
      </c>
      <c r="G18" s="89">
        <f t="shared" si="1"/>
        <v>0.75</v>
      </c>
      <c r="H18" s="103">
        <v>24</v>
      </c>
      <c r="I18" s="89">
        <f t="shared" si="2"/>
        <v>0.77419354838709675</v>
      </c>
      <c r="J18" s="103">
        <v>10</v>
      </c>
      <c r="K18" s="104">
        <f t="shared" si="3"/>
        <v>0.83333333333333337</v>
      </c>
      <c r="L18" s="103">
        <f t="shared" si="6"/>
        <v>93</v>
      </c>
      <c r="M18" s="89">
        <f t="shared" si="4"/>
        <v>0.78151260504201681</v>
      </c>
      <c r="N18" s="88">
        <v>0</v>
      </c>
      <c r="O18" s="89">
        <v>0</v>
      </c>
      <c r="P18" s="342">
        <v>0</v>
      </c>
      <c r="Q18" s="89">
        <v>0</v>
      </c>
      <c r="R18" s="343">
        <f t="shared" si="7"/>
        <v>93</v>
      </c>
      <c r="S18" s="89">
        <f t="shared" si="8"/>
        <v>0.78151260504201681</v>
      </c>
    </row>
    <row r="19" spans="1:19" s="325" customFormat="1" x14ac:dyDescent="0.35">
      <c r="A19" s="138" t="s">
        <v>18</v>
      </c>
      <c r="B19" s="103">
        <v>0</v>
      </c>
      <c r="C19" s="89" t="e">
        <f t="shared" si="5"/>
        <v>#DIV/0!</v>
      </c>
      <c r="D19" s="103">
        <v>0</v>
      </c>
      <c r="E19" s="89">
        <f t="shared" si="0"/>
        <v>0</v>
      </c>
      <c r="F19" s="103">
        <v>2</v>
      </c>
      <c r="G19" s="89">
        <f t="shared" si="1"/>
        <v>2.9411764705882353E-2</v>
      </c>
      <c r="H19" s="103">
        <v>0</v>
      </c>
      <c r="I19" s="89">
        <f t="shared" si="2"/>
        <v>0</v>
      </c>
      <c r="J19" s="103">
        <v>0</v>
      </c>
      <c r="K19" s="104">
        <f t="shared" si="3"/>
        <v>0</v>
      </c>
      <c r="L19" s="103">
        <f t="shared" si="6"/>
        <v>2</v>
      </c>
      <c r="M19" s="89">
        <f t="shared" si="4"/>
        <v>1.680672268907563E-2</v>
      </c>
      <c r="N19" s="88">
        <v>0</v>
      </c>
      <c r="O19" s="89">
        <v>0</v>
      </c>
      <c r="P19" s="342">
        <v>0</v>
      </c>
      <c r="Q19" s="89">
        <v>0</v>
      </c>
      <c r="R19" s="343">
        <f t="shared" si="7"/>
        <v>2</v>
      </c>
      <c r="S19" s="89">
        <f t="shared" si="8"/>
        <v>1.680672268907563E-2</v>
      </c>
    </row>
    <row r="20" spans="1:19" s="325" customFormat="1" x14ac:dyDescent="0.35">
      <c r="A20" s="362" t="s">
        <v>25</v>
      </c>
      <c r="B20" s="103">
        <v>0</v>
      </c>
      <c r="C20" s="89" t="e">
        <f t="shared" si="5"/>
        <v>#DIV/0!</v>
      </c>
      <c r="D20" s="103">
        <v>0</v>
      </c>
      <c r="E20" s="89">
        <f t="shared" si="0"/>
        <v>0</v>
      </c>
      <c r="F20" s="103">
        <v>3</v>
      </c>
      <c r="G20" s="89">
        <f t="shared" si="1"/>
        <v>4.4117647058823532E-2</v>
      </c>
      <c r="H20" s="103">
        <v>1</v>
      </c>
      <c r="I20" s="89">
        <f t="shared" si="2"/>
        <v>3.2258064516129031E-2</v>
      </c>
      <c r="J20" s="103">
        <v>0</v>
      </c>
      <c r="K20" s="104">
        <f t="shared" si="3"/>
        <v>0</v>
      </c>
      <c r="L20" s="103">
        <f t="shared" si="6"/>
        <v>4</v>
      </c>
      <c r="M20" s="89">
        <f t="shared" si="4"/>
        <v>3.3613445378151259E-2</v>
      </c>
      <c r="N20" s="88">
        <v>0</v>
      </c>
      <c r="O20" s="89">
        <v>0</v>
      </c>
      <c r="P20" s="342">
        <v>0</v>
      </c>
      <c r="Q20" s="89">
        <v>0</v>
      </c>
      <c r="R20" s="343">
        <f t="shared" si="7"/>
        <v>4</v>
      </c>
      <c r="S20" s="89">
        <f t="shared" si="8"/>
        <v>3.3613445378151259E-2</v>
      </c>
    </row>
    <row r="21" spans="1:19" s="325" customFormat="1" ht="15" thickBot="1" x14ac:dyDescent="0.4">
      <c r="A21" s="138" t="s">
        <v>30</v>
      </c>
      <c r="B21" s="103">
        <v>0</v>
      </c>
      <c r="C21" s="89" t="e">
        <f t="shared" si="5"/>
        <v>#DIV/0!</v>
      </c>
      <c r="D21" s="103">
        <v>0</v>
      </c>
      <c r="E21" s="89">
        <f t="shared" si="0"/>
        <v>0</v>
      </c>
      <c r="F21" s="103">
        <v>1</v>
      </c>
      <c r="G21" s="89">
        <f t="shared" si="1"/>
        <v>1.4705882352941176E-2</v>
      </c>
      <c r="H21" s="103">
        <v>0</v>
      </c>
      <c r="I21" s="89">
        <f t="shared" si="2"/>
        <v>0</v>
      </c>
      <c r="J21" s="103">
        <v>1</v>
      </c>
      <c r="K21" s="104">
        <f t="shared" si="3"/>
        <v>8.3333333333333329E-2</v>
      </c>
      <c r="L21" s="103">
        <f t="shared" si="6"/>
        <v>2</v>
      </c>
      <c r="M21" s="89">
        <f t="shared" si="4"/>
        <v>1.680672268907563E-2</v>
      </c>
      <c r="N21" s="88">
        <v>0</v>
      </c>
      <c r="O21" s="89">
        <v>0</v>
      </c>
      <c r="P21" s="342">
        <v>0</v>
      </c>
      <c r="Q21" s="89">
        <v>0</v>
      </c>
      <c r="R21" s="343">
        <f t="shared" si="7"/>
        <v>2</v>
      </c>
      <c r="S21" s="209">
        <f t="shared" si="8"/>
        <v>1.680672268907563E-2</v>
      </c>
    </row>
    <row r="22" spans="1:19" s="325" customFormat="1" ht="15" thickBot="1" x14ac:dyDescent="0.4">
      <c r="A22" s="90" t="s">
        <v>2</v>
      </c>
      <c r="B22" s="91">
        <f t="shared" ref="B22:Q22" si="9">SUM(B5:B21)</f>
        <v>0</v>
      </c>
      <c r="C22" s="92" t="e">
        <f t="shared" si="9"/>
        <v>#DIV/0!</v>
      </c>
      <c r="D22" s="91">
        <f t="shared" si="9"/>
        <v>8</v>
      </c>
      <c r="E22" s="92">
        <f t="shared" si="9"/>
        <v>1</v>
      </c>
      <c r="F22" s="91">
        <f t="shared" si="9"/>
        <v>68</v>
      </c>
      <c r="G22" s="92">
        <f t="shared" si="9"/>
        <v>0.99999999999999989</v>
      </c>
      <c r="H22" s="91">
        <f t="shared" si="9"/>
        <v>31</v>
      </c>
      <c r="I22" s="92">
        <f t="shared" si="9"/>
        <v>1</v>
      </c>
      <c r="J22" s="91">
        <f t="shared" si="9"/>
        <v>12</v>
      </c>
      <c r="K22" s="92">
        <f t="shared" si="9"/>
        <v>1</v>
      </c>
      <c r="L22" s="91">
        <f t="shared" si="9"/>
        <v>119</v>
      </c>
      <c r="M22" s="92">
        <f t="shared" si="9"/>
        <v>1</v>
      </c>
      <c r="N22" s="91">
        <f t="shared" si="9"/>
        <v>0</v>
      </c>
      <c r="O22" s="92">
        <f t="shared" si="9"/>
        <v>0</v>
      </c>
      <c r="P22" s="344">
        <f>SUM(P5:P21)</f>
        <v>0</v>
      </c>
      <c r="Q22" s="345">
        <f t="shared" si="9"/>
        <v>0</v>
      </c>
      <c r="R22" s="346">
        <f>L22+N22+P22</f>
        <v>119</v>
      </c>
      <c r="S22" s="208">
        <f t="shared" si="8"/>
        <v>1</v>
      </c>
    </row>
    <row r="23" spans="1:19" s="325" customFormat="1" x14ac:dyDescent="0.35"/>
    <row r="24" spans="1:19" s="325" customFormat="1" x14ac:dyDescent="0.35">
      <c r="A24" s="93" t="s">
        <v>152</v>
      </c>
    </row>
  </sheetData>
  <mergeCells count="7">
    <mergeCell ref="P3:Q3"/>
    <mergeCell ref="A1:D1"/>
    <mergeCell ref="J3:K3"/>
    <mergeCell ref="H3:I3"/>
    <mergeCell ref="F3:G3"/>
    <mergeCell ref="D3:E3"/>
    <mergeCell ref="N3:O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Ethnicity by Grade </vt:lpstr>
      <vt:lpstr>Ethnicity by Directorate</vt:lpstr>
      <vt:lpstr>Ethnicity by Location</vt:lpstr>
      <vt:lpstr>Gender by Grade </vt:lpstr>
      <vt:lpstr>Gender by Directorate</vt:lpstr>
      <vt:lpstr>Gender by Location</vt:lpstr>
      <vt:lpstr>Age by Grade</vt:lpstr>
      <vt:lpstr>Age by Directorate </vt:lpstr>
      <vt:lpstr>Leavers by ethnicity</vt:lpstr>
      <vt:lpstr>Perf Mgt</vt:lpstr>
      <vt:lpstr>Ex-police historic figures</vt:lpstr>
      <vt:lpstr>Our staff by career background</vt:lpstr>
      <vt:lpstr>Inv and Hills by career backgro</vt:lpstr>
      <vt:lpstr>Ops and Hills breakdown</vt:lpstr>
      <vt:lpstr>Career background by directorat</vt:lpstr>
      <vt:lpstr>New starters</vt:lpstr>
    </vt:vector>
  </TitlesOfParts>
  <Company>IPCC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sheena.thakrar</dc:creator>
  <cp:lastModifiedBy>Kamleish Parfect</cp:lastModifiedBy>
  <cp:lastPrinted>2017-10-03T09:08:39Z</cp:lastPrinted>
  <dcterms:created xsi:type="dcterms:W3CDTF">2015-04-09T11:20:32Z</dcterms:created>
  <dcterms:modified xsi:type="dcterms:W3CDTF">2023-02-28T16:09:44Z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176648587</vt:i4>
  </property>
  <property fmtid="{D5CDD505-2E9C-101B-9397-08002B2CF9AE}" pid="3" name="_NewReviewCycle">
    <vt:lpwstr/>
  </property>
  <property fmtid="{D5CDD505-2E9C-101B-9397-08002B2CF9AE}" pid="4" name="_EmailSubject">
    <vt:lpwstr>Ethnicity information on the website + for MP Correspondence</vt:lpwstr>
  </property>
  <property fmtid="{D5CDD505-2E9C-101B-9397-08002B2CF9AE}" pid="5" name="_AuthorEmail">
    <vt:lpwstr>Sofia.Higgins@policeconduct.gov.uk</vt:lpwstr>
  </property>
  <property fmtid="{D5CDD505-2E9C-101B-9397-08002B2CF9AE}" pid="6" name="_AuthorEmailDisplayName">
    <vt:lpwstr>Sofia Higgins</vt:lpwstr>
  </property>
  <property fmtid="{D5CDD505-2E9C-101B-9397-08002B2CF9AE}" pid="7" name="_PreviousAdHocReviewCycleID">
    <vt:i4>562309140</vt:i4>
  </property>
  <property fmtid="{D5CDD505-2E9C-101B-9397-08002B2CF9AE}" pid="8" name="_ReviewingToolsShownOnce">
    <vt:lpwstr/>
  </property>
</Properties>
</file>